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225" windowWidth="14805" windowHeight="789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B93" i="1" l="1"/>
  <c r="C74" i="1" l="1"/>
  <c r="B81" i="1" l="1"/>
  <c r="B61" i="1"/>
  <c r="F81" i="1" l="1"/>
  <c r="E81" i="1"/>
  <c r="F61" i="1"/>
  <c r="E61" i="1"/>
  <c r="C54" i="1" l="1"/>
  <c r="B80" i="1" l="1"/>
  <c r="B60" i="1"/>
  <c r="C80" i="1"/>
  <c r="C60" i="1"/>
  <c r="C79" i="1"/>
  <c r="C59" i="1"/>
  <c r="B79" i="1"/>
  <c r="B59" i="1"/>
  <c r="B57" i="1"/>
  <c r="B58" i="1"/>
  <c r="B56" i="1"/>
  <c r="C75" i="1"/>
  <c r="C73" i="1"/>
  <c r="C55" i="1"/>
  <c r="C53" i="1"/>
  <c r="B54" i="1"/>
  <c r="B53" i="1"/>
  <c r="B74" i="1"/>
  <c r="B75" i="1"/>
  <c r="B73" i="1"/>
  <c r="B55" i="1"/>
  <c r="C72" i="1"/>
  <c r="C52" i="1"/>
  <c r="B72" i="1"/>
  <c r="B52" i="1"/>
  <c r="D71" i="1"/>
  <c r="D51" i="1"/>
  <c r="C71" i="1"/>
  <c r="C51" i="1"/>
  <c r="B71" i="1"/>
  <c r="B51" i="1"/>
  <c r="D50" i="1"/>
  <c r="C50" i="1"/>
  <c r="D49" i="1"/>
  <c r="C49" i="1"/>
  <c r="C48" i="1"/>
  <c r="B50" i="1"/>
  <c r="B49" i="1"/>
  <c r="B48" i="1"/>
  <c r="D48" i="1"/>
  <c r="D46" i="1"/>
  <c r="C46" i="1"/>
  <c r="B46" i="1"/>
  <c r="B100" i="1"/>
  <c r="B99" i="1"/>
  <c r="B98" i="1"/>
  <c r="B97" i="1"/>
  <c r="B92" i="1"/>
  <c r="B91" i="1"/>
  <c r="B87" i="1"/>
  <c r="B86" i="1"/>
  <c r="B85" i="1"/>
  <c r="D32" i="1"/>
  <c r="D28" i="1"/>
  <c r="D24" i="1"/>
  <c r="C32" i="1"/>
  <c r="C28" i="1"/>
  <c r="C24" i="1"/>
  <c r="D14" i="1"/>
  <c r="D10" i="1"/>
  <c r="C14" i="1"/>
  <c r="C10" i="1"/>
  <c r="D6" i="1"/>
  <c r="C6" i="1"/>
  <c r="B6" i="1"/>
  <c r="B67" i="1" l="1"/>
  <c r="F76" i="1"/>
  <c r="F77" i="1"/>
  <c r="F78" i="1"/>
  <c r="E6" i="1" l="1"/>
  <c r="E7" i="1" s="1"/>
  <c r="F6" i="1"/>
  <c r="E79" i="1"/>
  <c r="E72" i="1"/>
  <c r="E70" i="1"/>
  <c r="E68" i="1"/>
  <c r="E60" i="1"/>
  <c r="E59" i="1"/>
  <c r="E58" i="1"/>
  <c r="E57" i="1"/>
  <c r="E55" i="1"/>
  <c r="E54" i="1"/>
  <c r="E53" i="1"/>
  <c r="E52" i="1"/>
  <c r="B47" i="1"/>
  <c r="E74" i="1"/>
  <c r="E56" i="1"/>
  <c r="B33" i="1"/>
  <c r="B34" i="1" s="1"/>
  <c r="E32" i="1"/>
  <c r="E33" i="1" s="1"/>
  <c r="E34" i="1" s="1"/>
  <c r="B29" i="1"/>
  <c r="B30" i="1" s="1"/>
  <c r="E28" i="1"/>
  <c r="E29" i="1" s="1"/>
  <c r="E30" i="1" s="1"/>
  <c r="B25" i="1"/>
  <c r="B26" i="1" s="1"/>
  <c r="E24" i="1"/>
  <c r="E25" i="1" s="1"/>
  <c r="E26" i="1" s="1"/>
  <c r="B14" i="1"/>
  <c r="E14" i="1" s="1"/>
  <c r="E15" i="1" s="1"/>
  <c r="E16" i="1" s="1"/>
  <c r="E49" i="1" l="1"/>
  <c r="E46" i="1"/>
  <c r="E47" i="1" s="1"/>
  <c r="E51" i="1"/>
  <c r="E48" i="1"/>
  <c r="E50" i="1"/>
  <c r="E71" i="1"/>
  <c r="E66" i="1"/>
  <c r="E69" i="1"/>
  <c r="E75" i="1"/>
  <c r="E80" i="1"/>
  <c r="F14" i="1"/>
  <c r="F50" i="1"/>
  <c r="F71" i="1"/>
  <c r="F24" i="1"/>
  <c r="F25" i="1" s="1"/>
  <c r="C25" i="1" s="1"/>
  <c r="C26" i="1" s="1"/>
  <c r="F66" i="1"/>
  <c r="F69" i="1"/>
  <c r="F57" i="1"/>
  <c r="F28" i="1"/>
  <c r="F29" i="1" s="1"/>
  <c r="C29" i="1" s="1"/>
  <c r="C30" i="1" s="1"/>
  <c r="F59" i="1"/>
  <c r="F56" i="1"/>
  <c r="F32" i="1"/>
  <c r="F33" i="1" s="1"/>
  <c r="C33" i="1" s="1"/>
  <c r="C34" i="1" s="1"/>
  <c r="F58" i="1"/>
  <c r="F70" i="1"/>
  <c r="F80" i="1"/>
  <c r="F49" i="1"/>
  <c r="F52" i="1"/>
  <c r="F54" i="1"/>
  <c r="F60" i="1"/>
  <c r="F74" i="1"/>
  <c r="F46" i="1"/>
  <c r="F48" i="1"/>
  <c r="F51" i="1"/>
  <c r="F68" i="1"/>
  <c r="F72" i="1"/>
  <c r="F79" i="1"/>
  <c r="B15" i="1"/>
  <c r="B16" i="1" s="1"/>
  <c r="B7" i="1"/>
  <c r="B8" i="1" s="1"/>
  <c r="E73" i="1"/>
  <c r="B10" i="1"/>
  <c r="E10" i="1" s="1"/>
  <c r="E11" i="1" s="1"/>
  <c r="E12" i="1" s="1"/>
  <c r="F10" i="1" l="1"/>
  <c r="B11" i="1"/>
  <c r="B12" i="1" s="1"/>
  <c r="F47" i="1"/>
  <c r="C47" i="1" s="1"/>
  <c r="F7" i="1"/>
  <c r="C7" i="1" s="1"/>
  <c r="F15" i="1"/>
  <c r="C15" i="1" s="1"/>
  <c r="C16" i="1" l="1"/>
  <c r="F16" i="1" s="1"/>
  <c r="C67" i="1"/>
  <c r="E67" i="1" s="1"/>
  <c r="C8" i="1"/>
  <c r="E8" i="1" s="1"/>
  <c r="F8" i="1"/>
  <c r="F67" i="1" l="1"/>
  <c r="F11" i="1"/>
  <c r="C11" i="1" l="1"/>
  <c r="C12" i="1" s="1"/>
  <c r="F12" i="1"/>
  <c r="F26" i="1" l="1"/>
  <c r="F34" i="1"/>
  <c r="F30" i="1"/>
</calcChain>
</file>

<file path=xl/comments1.xml><?xml version="1.0" encoding="utf-8"?>
<comments xmlns="http://schemas.openxmlformats.org/spreadsheetml/2006/main">
  <authors>
    <author>Autor</author>
  </authors>
  <commentList>
    <comment ref="A56" authorId="0" shapeId="0">
      <text>
        <r>
          <rPr>
            <sz val="9"/>
            <color indexed="81"/>
            <rFont val="Arial Narrow"/>
            <family val="2"/>
          </rPr>
          <t xml:space="preserve">art 32.6 II Convenio Colect PDI - retribucións iguais que Asoc T1P3 (soldo + CD) </t>
        </r>
      </text>
    </comment>
    <comment ref="A57" authorId="0" shapeId="0">
      <text>
        <r>
          <rPr>
            <sz val="9"/>
            <color indexed="81"/>
            <rFont val="Arial Narrow"/>
            <family val="2"/>
          </rPr>
          <t xml:space="preserve">art 32.6 II Convenio Colect PDI - retribucións iguais que Asoc T1P3 (soldo + CD) </t>
        </r>
      </text>
    </comment>
    <comment ref="A58" authorId="0" shapeId="0">
      <text>
        <r>
          <rPr>
            <sz val="9"/>
            <color indexed="81"/>
            <rFont val="Arial Narrow"/>
            <family val="2"/>
          </rPr>
          <t xml:space="preserve">art 32.6 II Convenio Colect PDI - retribucións iguais que Asoc T1P3 (soldo + CD) </t>
        </r>
      </text>
    </comment>
  </commentList>
</comments>
</file>

<file path=xl/sharedStrings.xml><?xml version="1.0" encoding="utf-8"?>
<sst xmlns="http://schemas.openxmlformats.org/spreadsheetml/2006/main" count="92" uniqueCount="59">
  <si>
    <t>CATEGORIAS</t>
  </si>
  <si>
    <t>SOLDO</t>
  </si>
  <si>
    <t>C. DESTINO</t>
  </si>
  <si>
    <t>C. ESPECIF.</t>
  </si>
  <si>
    <t>RET. ADIC.2/92</t>
  </si>
  <si>
    <t>TOTAL MES</t>
  </si>
  <si>
    <t>Cated. Univ. T.C.</t>
  </si>
  <si>
    <t>Cated. Univ. 6 H.</t>
  </si>
  <si>
    <t>Cated. Univ. 3 H.</t>
  </si>
  <si>
    <t>Tit. Univ. T.C. e Cat. E.U.</t>
  </si>
  <si>
    <t>Tit. Univ. H 6. e Cat. E.U.</t>
  </si>
  <si>
    <t>Tit. Univ. H 3. e Cat. E.U.</t>
  </si>
  <si>
    <t>Tit. E.U. T.C.</t>
  </si>
  <si>
    <t>Tit. E.U. 6 H.</t>
  </si>
  <si>
    <t>Tit. E.U. 3 H.</t>
  </si>
  <si>
    <t>SOLDO EXTRA</t>
  </si>
  <si>
    <t>PAGA ADICIONAL C. ESPECIF.</t>
  </si>
  <si>
    <t>TOTAL EXTRA</t>
  </si>
  <si>
    <t>Trienios</t>
  </si>
  <si>
    <t>Mensual TC</t>
  </si>
  <si>
    <t>Extra TC</t>
  </si>
  <si>
    <t>A1</t>
  </si>
  <si>
    <t>A2</t>
  </si>
  <si>
    <t>C1</t>
  </si>
  <si>
    <t>Quinquenios e Sexenios</t>
  </si>
  <si>
    <t>Nivel</t>
  </si>
  <si>
    <t>Importe</t>
  </si>
  <si>
    <t>Complementos Autonómicos</t>
  </si>
  <si>
    <t>Labor Doc</t>
  </si>
  <si>
    <t>Labor Invest</t>
  </si>
  <si>
    <t>Excelenc</t>
  </si>
  <si>
    <t>Xestión</t>
  </si>
  <si>
    <t>Lector T.C.</t>
  </si>
  <si>
    <t>Lector 6 H.</t>
  </si>
  <si>
    <t>Prof. Laboral asimilado a TEU</t>
  </si>
  <si>
    <t>Prof. Colaborador = T.E.U.</t>
  </si>
  <si>
    <t>Prof. Contratado Doutor</t>
  </si>
  <si>
    <t>Prof. Interino Substit. T3-TC</t>
  </si>
  <si>
    <t>Prof. Interino Substit. T3-P6</t>
  </si>
  <si>
    <t>Prof. Interino Substit. T3-P3</t>
  </si>
  <si>
    <t>Asociado T3-P6</t>
  </si>
  <si>
    <t>Asociado T3-P3</t>
  </si>
  <si>
    <t>Asociado Practicum</t>
  </si>
  <si>
    <t>Asociado Ciencias da Saúde</t>
  </si>
  <si>
    <t>Asociado CC Saúde Rof Codina</t>
  </si>
  <si>
    <t>Axudante</t>
  </si>
  <si>
    <t>Prof. Axudante Doutor</t>
  </si>
  <si>
    <t>PAGA ADIC. C. ESPECIF.</t>
  </si>
  <si>
    <t>TOTAL MENSUAL EXTRA</t>
  </si>
  <si>
    <t>Prof. Interino Substit. U-TC</t>
  </si>
  <si>
    <t>Prof. Interino Substit. U-P6</t>
  </si>
  <si>
    <t>Prof. Interino Substit. U-P3</t>
  </si>
  <si>
    <t>Asociado / P6</t>
  </si>
  <si>
    <t>Asociado / P3</t>
  </si>
  <si>
    <t>RETRIBUCIÓNS MENSUAIS PDI - FUNCIONARIOS DESDE XANEIRO 2020</t>
  </si>
  <si>
    <t>RETRIBUCIÓNS PAGA EXTRA PDI - FUNCIONARIOS DESDE XANEIRO 2020</t>
  </si>
  <si>
    <t>RETRIBUCIÓNS MENSUAL PDI - CONTRATADOS LABORAIS DESDE XANEIRO 2020</t>
  </si>
  <si>
    <t>RETRIBUCIÓNS PAGA EXTRA PDI - CONTRATADOS LABORAIS DESDE XANEIRO 2020</t>
  </si>
  <si>
    <t>Emérito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</si>
</sst>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9"/>
      <color indexed="81"/>
      <name val="Arial Narrow"/>
      <family val="2"/>
    </font>
    <font>
      <b/>
      <sz val="9"/>
      <color rgb="FFFF000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Border="1"/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1" fillId="0" borderId="2" xfId="0" applyFont="1" applyBorder="1"/>
    <xf numFmtId="0" fontId="1" fillId="0" borderId="0" xfId="0" applyFont="1" applyFill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1" fillId="0" borderId="0" xfId="0" applyFont="1" applyFill="1" applyBorder="1"/>
    <xf numFmtId="164" fontId="1" fillId="0" borderId="0" xfId="0" applyNumberFormat="1" applyFont="1" applyFill="1" applyBorder="1" applyAlignment="1">
      <alignment horizontal="center"/>
    </xf>
    <xf numFmtId="0" fontId="1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1" fillId="0" borderId="0" xfId="0" applyFont="1" applyFill="1" applyAlignment="1">
      <alignment horizontal="center"/>
    </xf>
    <xf numFmtId="164" fontId="1" fillId="0" borderId="2" xfId="0" applyNumberFormat="1" applyFont="1" applyFill="1" applyBorder="1"/>
    <xf numFmtId="164" fontId="1" fillId="0" borderId="0" xfId="0" applyNumberFormat="1" applyFont="1" applyFill="1"/>
    <xf numFmtId="0" fontId="1" fillId="0" borderId="2" xfId="0" applyFont="1" applyFill="1" applyBorder="1" applyAlignment="1">
      <alignment horizontal="center"/>
    </xf>
    <xf numFmtId="164" fontId="1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64" fontId="1" fillId="0" borderId="7" xfId="0" applyNumberFormat="1" applyFont="1" applyFill="1" applyBorder="1"/>
    <xf numFmtId="0" fontId="1" fillId="0" borderId="2" xfId="0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/>
    </xf>
    <xf numFmtId="164" fontId="1" fillId="0" borderId="10" xfId="0" applyNumberFormat="1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/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0" xfId="0" applyFont="1"/>
    <xf numFmtId="164" fontId="1" fillId="0" borderId="9" xfId="0" applyNumberFormat="1" applyFont="1" applyFill="1" applyBorder="1"/>
    <xf numFmtId="164" fontId="1" fillId="0" borderId="9" xfId="0" applyNumberFormat="1" applyFont="1" applyFill="1" applyBorder="1" applyAlignment="1">
      <alignment vertical="center"/>
    </xf>
    <xf numFmtId="164" fontId="1" fillId="0" borderId="8" xfId="0" applyNumberFormat="1" applyFont="1" applyFill="1" applyBorder="1"/>
    <xf numFmtId="164" fontId="2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/>
    <xf numFmtId="0" fontId="2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01"/>
  <sheetViews>
    <sheetView tabSelected="1" zoomScale="120" zoomScaleNormal="120" workbookViewId="0">
      <selection activeCell="F1" sqref="A1:F1048576"/>
    </sheetView>
  </sheetViews>
  <sheetFormatPr baseColWidth="10" defaultColWidth="11.5703125" defaultRowHeight="13.5" x14ac:dyDescent="0.25"/>
  <cols>
    <col min="1" max="1" width="15" style="36" customWidth="1"/>
    <col min="2" max="2" width="20.140625" style="36" customWidth="1"/>
    <col min="3" max="3" width="10.42578125" style="36" customWidth="1"/>
    <col min="4" max="4" width="10.28515625" style="36" customWidth="1"/>
    <col min="5" max="5" width="9.28515625" style="36" bestFit="1" customWidth="1"/>
    <col min="6" max="6" width="13.140625" style="36" bestFit="1" customWidth="1"/>
    <col min="7" max="7" width="10.85546875" style="36" customWidth="1"/>
    <col min="8" max="8" width="21.42578125" style="36" customWidth="1"/>
    <col min="9" max="9" width="8.28515625" style="36" customWidth="1"/>
    <col min="10" max="11" width="10.28515625" style="36" customWidth="1"/>
    <col min="12" max="12" width="9.140625" style="36" customWidth="1"/>
    <col min="13" max="13" width="11.5703125" style="36" customWidth="1"/>
    <col min="14" max="14" width="7.42578125" style="36" customWidth="1"/>
    <col min="15" max="15" width="10.85546875" style="36" customWidth="1"/>
    <col min="16" max="16" width="12.42578125" style="36" customWidth="1"/>
    <col min="17" max="17" width="1.7109375" style="36" customWidth="1"/>
    <col min="18" max="18" width="9" style="36" bestFit="1" customWidth="1"/>
    <col min="19" max="16384" width="11.5703125" style="36"/>
  </cols>
  <sheetData>
    <row r="1" spans="1:8" ht="14.25" thickBot="1" x14ac:dyDescent="0.3"/>
    <row r="2" spans="1:8" ht="15.75" customHeight="1" thickBot="1" x14ac:dyDescent="0.3">
      <c r="A2" s="68" t="s">
        <v>54</v>
      </c>
      <c r="B2" s="59"/>
      <c r="C2" s="59"/>
      <c r="D2" s="59"/>
      <c r="E2" s="59"/>
      <c r="F2" s="60"/>
    </row>
    <row r="3" spans="1:8" ht="4.5" customHeight="1" x14ac:dyDescent="0.25">
      <c r="H3" s="1"/>
    </row>
    <row r="4" spans="1:8" ht="31.5" customHeight="1" x14ac:dyDescent="0.25">
      <c r="A4" s="6" t="s">
        <v>0</v>
      </c>
      <c r="B4" s="6" t="s">
        <v>1</v>
      </c>
      <c r="C4" s="6" t="s">
        <v>2</v>
      </c>
      <c r="D4" s="6" t="s">
        <v>3</v>
      </c>
      <c r="E4" s="7" t="s">
        <v>4</v>
      </c>
      <c r="F4" s="6" t="s">
        <v>5</v>
      </c>
    </row>
    <row r="5" spans="1:8" ht="4.5" customHeight="1" x14ac:dyDescent="0.25">
      <c r="A5" s="69"/>
    </row>
    <row r="6" spans="1:8" ht="15.75" customHeight="1" x14ac:dyDescent="0.25">
      <c r="A6" s="8" t="s">
        <v>6</v>
      </c>
      <c r="B6" s="16">
        <f>(14442.72/12)</f>
        <v>1203.56</v>
      </c>
      <c r="C6" s="16">
        <f>(11315.64/12)</f>
        <v>942.96999999999991</v>
      </c>
      <c r="D6" s="16">
        <f>(1042.32*2%)+1042.32</f>
        <v>1063.1663999999998</v>
      </c>
      <c r="E6" s="16">
        <f>(B6+C6+D6)*0.3784%</f>
        <v>12.145491177599999</v>
      </c>
      <c r="F6" s="16">
        <f>B6+C6+D6</f>
        <v>3209.6963999999998</v>
      </c>
    </row>
    <row r="7" spans="1:8" x14ac:dyDescent="0.25">
      <c r="A7" s="8" t="s">
        <v>7</v>
      </c>
      <c r="B7" s="16">
        <f>B6*43.32%</f>
        <v>521.38219200000003</v>
      </c>
      <c r="C7" s="16">
        <f>F7-B7</f>
        <v>869.05828847999987</v>
      </c>
      <c r="D7" s="16"/>
      <c r="E7" s="16">
        <f>E6*43.32%</f>
        <v>5.26142677813632</v>
      </c>
      <c r="F7" s="16">
        <f>F6*43.32%</f>
        <v>1390.4404804799999</v>
      </c>
    </row>
    <row r="8" spans="1:8" x14ac:dyDescent="0.25">
      <c r="A8" s="8" t="s">
        <v>8</v>
      </c>
      <c r="B8" s="16">
        <f>B7/2</f>
        <v>260.69109600000002</v>
      </c>
      <c r="C8" s="16">
        <f>C7/2</f>
        <v>434.52914423999994</v>
      </c>
      <c r="D8" s="16"/>
      <c r="E8" s="16">
        <f>(B8+C8+D8)*0.3784%</f>
        <v>2.63071338906816</v>
      </c>
      <c r="F8" s="16">
        <f>F7/2</f>
        <v>695.22024023999995</v>
      </c>
    </row>
    <row r="9" spans="1:8" ht="4.5" customHeight="1" x14ac:dyDescent="0.25">
      <c r="A9" s="70"/>
      <c r="B9" s="17"/>
      <c r="C9" s="17"/>
      <c r="D9" s="17"/>
      <c r="E9" s="17"/>
      <c r="F9" s="17"/>
    </row>
    <row r="10" spans="1:8" x14ac:dyDescent="0.25">
      <c r="A10" s="8" t="s">
        <v>9</v>
      </c>
      <c r="B10" s="16">
        <f>B6</f>
        <v>1203.56</v>
      </c>
      <c r="C10" s="16">
        <f>(10363.92/12)</f>
        <v>863.66</v>
      </c>
      <c r="D10" s="16">
        <f>(486.27*2%)+486.27</f>
        <v>495.99539999999996</v>
      </c>
      <c r="E10" s="16">
        <f>(B10+C10+D10)*0.3784%</f>
        <v>9.6992070735999985</v>
      </c>
      <c r="F10" s="16">
        <f>SUM(B10:D10)</f>
        <v>2563.2153999999996</v>
      </c>
    </row>
    <row r="11" spans="1:8" x14ac:dyDescent="0.25">
      <c r="A11" s="8" t="s">
        <v>10</v>
      </c>
      <c r="B11" s="16">
        <f>B10*43.32%</f>
        <v>521.38219200000003</v>
      </c>
      <c r="C11" s="16">
        <f>F11-B11</f>
        <v>589.00271927999984</v>
      </c>
      <c r="D11" s="16"/>
      <c r="E11" s="16">
        <f>E10*43.32%</f>
        <v>4.2016965042835199</v>
      </c>
      <c r="F11" s="16">
        <f>F10*43.32%</f>
        <v>1110.3849112799999</v>
      </c>
    </row>
    <row r="12" spans="1:8" x14ac:dyDescent="0.25">
      <c r="A12" s="8" t="s">
        <v>11</v>
      </c>
      <c r="B12" s="16">
        <f>B11/2</f>
        <v>260.69109600000002</v>
      </c>
      <c r="C12" s="16">
        <f>C11/2</f>
        <v>294.50135963999992</v>
      </c>
      <c r="D12" s="16"/>
      <c r="E12" s="16">
        <f>E11/2</f>
        <v>2.10084825214176</v>
      </c>
      <c r="F12" s="16">
        <f>F11/2</f>
        <v>555.19245563999993</v>
      </c>
    </row>
    <row r="13" spans="1:8" ht="4.5" customHeight="1" x14ac:dyDescent="0.25">
      <c r="A13" s="70"/>
      <c r="B13" s="17"/>
      <c r="C13" s="17"/>
      <c r="D13" s="17"/>
      <c r="E13" s="17"/>
      <c r="F13" s="17"/>
    </row>
    <row r="14" spans="1:8" x14ac:dyDescent="0.25">
      <c r="A14" s="8" t="s">
        <v>12</v>
      </c>
      <c r="B14" s="16">
        <f>B6</f>
        <v>1203.56</v>
      </c>
      <c r="C14" s="16">
        <f>+(9092.64/12)</f>
        <v>757.71999999999991</v>
      </c>
      <c r="D14" s="16">
        <f>(300.22*2%)+300.22</f>
        <v>306.2244</v>
      </c>
      <c r="E14" s="16">
        <f>(B14+C14+D14)*0.3784%</f>
        <v>8.5802366495999998</v>
      </c>
      <c r="F14" s="16">
        <f>SUM(B14:D14)</f>
        <v>2267.5043999999998</v>
      </c>
    </row>
    <row r="15" spans="1:8" x14ac:dyDescent="0.25">
      <c r="A15" s="8" t="s">
        <v>13</v>
      </c>
      <c r="B15" s="16">
        <f>B14*43.32%</f>
        <v>521.38219200000003</v>
      </c>
      <c r="C15" s="16">
        <f>F15-B15</f>
        <v>460.90071407999994</v>
      </c>
      <c r="D15" s="16"/>
      <c r="E15" s="16">
        <f>E14*43.32%</f>
        <v>3.7169585166067201</v>
      </c>
      <c r="F15" s="16">
        <f>F14*43.32%</f>
        <v>982.28290607999998</v>
      </c>
    </row>
    <row r="16" spans="1:8" x14ac:dyDescent="0.25">
      <c r="A16" s="8" t="s">
        <v>14</v>
      </c>
      <c r="B16" s="16">
        <f>B15/2</f>
        <v>260.69109600000002</v>
      </c>
      <c r="C16" s="16">
        <f>C15/2</f>
        <v>230.45035703999997</v>
      </c>
      <c r="D16" s="16"/>
      <c r="E16" s="16">
        <f>E15/2</f>
        <v>1.85847925830336</v>
      </c>
      <c r="F16" s="16">
        <f>SUM(B16:D16)</f>
        <v>491.14145303999999</v>
      </c>
    </row>
    <row r="17" spans="1:16" x14ac:dyDescent="0.25">
      <c r="A17" s="2"/>
      <c r="B17" s="3"/>
      <c r="C17" s="3"/>
      <c r="D17" s="3"/>
      <c r="E17" s="3"/>
      <c r="F17" s="3"/>
    </row>
    <row r="18" spans="1:16" x14ac:dyDescent="0.25">
      <c r="A18" s="2"/>
      <c r="B18" s="3"/>
      <c r="C18" s="3"/>
      <c r="D18" s="3"/>
      <c r="E18" s="3"/>
      <c r="F18" s="3"/>
    </row>
    <row r="19" spans="1:16" ht="14.25" thickBot="1" x14ac:dyDescent="0.3"/>
    <row r="20" spans="1:16" ht="15.75" customHeight="1" thickBot="1" x14ac:dyDescent="0.3">
      <c r="A20" s="68" t="s">
        <v>55</v>
      </c>
      <c r="B20" s="59"/>
      <c r="C20" s="59"/>
      <c r="D20" s="59"/>
      <c r="E20" s="59"/>
      <c r="F20" s="60"/>
    </row>
    <row r="22" spans="1:16" ht="39.75" customHeight="1" x14ac:dyDescent="0.25">
      <c r="A22" s="6" t="s">
        <v>0</v>
      </c>
      <c r="B22" s="7" t="s">
        <v>15</v>
      </c>
      <c r="C22" s="6" t="s">
        <v>2</v>
      </c>
      <c r="D22" s="7" t="s">
        <v>16</v>
      </c>
      <c r="E22" s="7" t="s">
        <v>4</v>
      </c>
      <c r="F22" s="6" t="s">
        <v>17</v>
      </c>
    </row>
    <row r="23" spans="1:16" ht="4.5" customHeight="1" x14ac:dyDescent="0.25">
      <c r="A23" s="69"/>
    </row>
    <row r="24" spans="1:16" x14ac:dyDescent="0.25">
      <c r="A24" s="8" t="s">
        <v>6</v>
      </c>
      <c r="B24" s="16">
        <v>742.7</v>
      </c>
      <c r="C24" s="16">
        <f>(11315.64/12)</f>
        <v>942.96999999999991</v>
      </c>
      <c r="D24" s="16">
        <f>(1042.32*2%)+1042.32</f>
        <v>1063.1663999999998</v>
      </c>
      <c r="E24" s="16">
        <f>(B24+C24+D24)*0.3784%</f>
        <v>10.401596937600001</v>
      </c>
      <c r="F24" s="16">
        <f>SUM(B24:D24)</f>
        <v>2748.8364000000001</v>
      </c>
    </row>
    <row r="25" spans="1:16" ht="13.15" customHeight="1" x14ac:dyDescent="0.25">
      <c r="A25" s="8" t="s">
        <v>7</v>
      </c>
      <c r="B25" s="16">
        <f>B24*43.32%</f>
        <v>321.73764000000006</v>
      </c>
      <c r="C25" s="16">
        <f>F25-B25</f>
        <v>869.0582884800001</v>
      </c>
      <c r="D25" s="16"/>
      <c r="E25" s="16">
        <f>E24*43.32%</f>
        <v>4.505971793368321</v>
      </c>
      <c r="F25" s="16">
        <f>F24*43.32%</f>
        <v>1190.7959284800002</v>
      </c>
      <c r="J25" s="1"/>
      <c r="K25" s="33"/>
      <c r="P25" s="38"/>
    </row>
    <row r="26" spans="1:16" x14ac:dyDescent="0.25">
      <c r="A26" s="8" t="s">
        <v>8</v>
      </c>
      <c r="B26" s="16">
        <f>B25/2</f>
        <v>160.86882000000003</v>
      </c>
      <c r="C26" s="16">
        <f>C25/2</f>
        <v>434.52914424000005</v>
      </c>
      <c r="D26" s="16"/>
      <c r="E26" s="16">
        <f>E25/2</f>
        <v>2.2529858966841605</v>
      </c>
      <c r="F26" s="16">
        <f>SUM(B26:D26)</f>
        <v>595.39796424000008</v>
      </c>
      <c r="J26" s="1"/>
      <c r="K26" s="33"/>
      <c r="P26" s="38"/>
    </row>
    <row r="27" spans="1:16" x14ac:dyDescent="0.25">
      <c r="A27" s="8"/>
      <c r="B27" s="16"/>
      <c r="C27" s="16"/>
      <c r="D27" s="16"/>
      <c r="E27" s="16"/>
      <c r="F27" s="16"/>
      <c r="H27" s="1"/>
      <c r="I27" s="9"/>
      <c r="J27" s="9"/>
      <c r="P27" s="39"/>
    </row>
    <row r="28" spans="1:16" x14ac:dyDescent="0.25">
      <c r="A28" s="8" t="s">
        <v>9</v>
      </c>
      <c r="B28" s="16">
        <v>742.7</v>
      </c>
      <c r="C28" s="16">
        <f>(10363.92/12)</f>
        <v>863.66</v>
      </c>
      <c r="D28" s="16">
        <f>(486.27*2%)+486.27</f>
        <v>495.99539999999996</v>
      </c>
      <c r="E28" s="16">
        <f>(B28+C28+D28)*0.3784%</f>
        <v>7.9553128335999999</v>
      </c>
      <c r="F28" s="16">
        <f>SUM(B28:D28)</f>
        <v>2102.3553999999999</v>
      </c>
      <c r="H28" s="10"/>
      <c r="I28" s="11"/>
      <c r="J28" s="11"/>
      <c r="K28" s="5"/>
      <c r="L28" s="5"/>
      <c r="M28" s="5"/>
    </row>
    <row r="29" spans="1:16" ht="14.45" customHeight="1" x14ac:dyDescent="0.25">
      <c r="A29" s="8" t="s">
        <v>10</v>
      </c>
      <c r="B29" s="16">
        <f>B28*43.32%</f>
        <v>321.73764000000006</v>
      </c>
      <c r="C29" s="16">
        <f>F29-B29</f>
        <v>589.00271927999995</v>
      </c>
      <c r="D29" s="16"/>
      <c r="E29" s="16">
        <f>E28*43.32%</f>
        <v>3.44624151951552</v>
      </c>
      <c r="F29" s="16">
        <f>F28*43.32%</f>
        <v>910.74035928000001</v>
      </c>
      <c r="H29" s="35"/>
      <c r="I29" s="35"/>
      <c r="J29" s="35"/>
      <c r="K29" s="35"/>
      <c r="L29" s="35"/>
      <c r="M29" s="35"/>
      <c r="N29" s="10"/>
    </row>
    <row r="30" spans="1:16" x14ac:dyDescent="0.25">
      <c r="A30" s="8" t="s">
        <v>11</v>
      </c>
      <c r="B30" s="16">
        <f>B29/2</f>
        <v>160.86882000000003</v>
      </c>
      <c r="C30" s="16">
        <f>C29/2</f>
        <v>294.50135963999998</v>
      </c>
      <c r="D30" s="16"/>
      <c r="E30" s="16">
        <f>E29/2</f>
        <v>1.72312075975776</v>
      </c>
      <c r="F30" s="16">
        <f>SUM(B30:D30)</f>
        <v>455.37017964</v>
      </c>
      <c r="H30" s="35"/>
      <c r="I30" s="35"/>
      <c r="J30" s="35"/>
      <c r="K30" s="35"/>
      <c r="L30" s="35"/>
      <c r="M30" s="35"/>
      <c r="N30" s="10"/>
    </row>
    <row r="31" spans="1:16" x14ac:dyDescent="0.25">
      <c r="A31" s="8"/>
      <c r="B31" s="16"/>
      <c r="C31" s="16"/>
      <c r="D31" s="16"/>
      <c r="E31" s="16"/>
      <c r="F31" s="16"/>
      <c r="H31" s="35"/>
      <c r="I31" s="35"/>
      <c r="J31" s="35"/>
      <c r="K31" s="35"/>
      <c r="L31" s="35"/>
      <c r="M31" s="35"/>
      <c r="N31" s="35"/>
    </row>
    <row r="32" spans="1:16" x14ac:dyDescent="0.25">
      <c r="A32" s="8" t="s">
        <v>12</v>
      </c>
      <c r="B32" s="16">
        <v>742.7</v>
      </c>
      <c r="C32" s="16">
        <f>+(9092.64/12)</f>
        <v>757.71999999999991</v>
      </c>
      <c r="D32" s="16">
        <f>(300.22*2%)+300.22</f>
        <v>306.2244</v>
      </c>
      <c r="E32" s="16">
        <f>(B32+C32+D32)*0.3784%</f>
        <v>6.8363424096000003</v>
      </c>
      <c r="F32" s="16">
        <f>SUM(B32:D32)</f>
        <v>1806.6444000000001</v>
      </c>
      <c r="H32" s="35"/>
      <c r="I32" s="35"/>
      <c r="J32" s="35"/>
      <c r="K32" s="35"/>
      <c r="L32" s="35"/>
      <c r="M32" s="35"/>
      <c r="N32" s="35"/>
    </row>
    <row r="33" spans="1:15" x14ac:dyDescent="0.25">
      <c r="A33" s="8" t="s">
        <v>13</v>
      </c>
      <c r="B33" s="16">
        <f>B32*43.32%</f>
        <v>321.73764000000006</v>
      </c>
      <c r="C33" s="16">
        <f>F33-B33</f>
        <v>460.90071408000006</v>
      </c>
      <c r="D33" s="16"/>
      <c r="E33" s="16">
        <f>E32*43.32%</f>
        <v>2.9615035318387202</v>
      </c>
      <c r="F33" s="16">
        <f>F32*43.32%</f>
        <v>782.63835408000011</v>
      </c>
      <c r="G33" s="3"/>
      <c r="H33" s="57"/>
      <c r="I33" s="57"/>
      <c r="J33" s="57"/>
      <c r="K33" s="57"/>
      <c r="L33" s="57"/>
      <c r="M33" s="57"/>
      <c r="N33" s="10"/>
    </row>
    <row r="34" spans="1:15" x14ac:dyDescent="0.25">
      <c r="A34" s="8" t="s">
        <v>14</v>
      </c>
      <c r="B34" s="16">
        <f>B33/2</f>
        <v>160.86882000000003</v>
      </c>
      <c r="C34" s="16">
        <f>C33/2</f>
        <v>230.45035704000003</v>
      </c>
      <c r="D34" s="16"/>
      <c r="E34" s="16">
        <f>E33/2</f>
        <v>1.4807517659193601</v>
      </c>
      <c r="F34" s="16">
        <f>SUM(B34:D34)</f>
        <v>391.31917704000006</v>
      </c>
      <c r="H34" s="10"/>
      <c r="I34" s="10"/>
      <c r="J34" s="10"/>
      <c r="K34" s="10"/>
      <c r="L34" s="10"/>
      <c r="M34" s="10"/>
      <c r="N34" s="10"/>
      <c r="O34" s="26"/>
    </row>
    <row r="35" spans="1:15" x14ac:dyDescent="0.25">
      <c r="A35" s="2"/>
      <c r="B35" s="3"/>
      <c r="C35" s="3"/>
      <c r="D35" s="3"/>
      <c r="E35" s="3"/>
      <c r="F35" s="3"/>
      <c r="H35" s="10"/>
      <c r="I35" s="10"/>
      <c r="J35" s="10"/>
      <c r="K35" s="10"/>
      <c r="L35" s="10"/>
      <c r="M35" s="10"/>
      <c r="N35" s="10"/>
    </row>
    <row r="36" spans="1:15" ht="13.15" customHeight="1" x14ac:dyDescent="0.25">
      <c r="A36" s="2"/>
      <c r="B36" s="3"/>
      <c r="C36" s="3"/>
      <c r="D36" s="3"/>
      <c r="E36" s="3"/>
      <c r="F36" s="3"/>
      <c r="H36" s="10"/>
      <c r="I36" s="33"/>
      <c r="J36" s="10"/>
      <c r="K36" s="10"/>
      <c r="L36" s="10"/>
      <c r="M36" s="33"/>
    </row>
    <row r="37" spans="1:15" x14ac:dyDescent="0.25">
      <c r="A37" s="31"/>
      <c r="B37" s="3"/>
      <c r="C37" s="3"/>
      <c r="D37" s="3"/>
      <c r="E37" s="3"/>
      <c r="F37" s="3"/>
      <c r="H37" s="10"/>
      <c r="I37" s="10"/>
      <c r="J37" s="33"/>
      <c r="K37" s="10"/>
      <c r="L37" s="10"/>
      <c r="M37" s="10"/>
    </row>
    <row r="38" spans="1:15" x14ac:dyDescent="0.25">
      <c r="H38" s="10"/>
      <c r="I38" s="10"/>
      <c r="J38" s="33"/>
      <c r="K38" s="10"/>
      <c r="L38" s="10"/>
      <c r="M38" s="10"/>
    </row>
    <row r="39" spans="1:15" ht="15.75" customHeight="1" x14ac:dyDescent="0.25">
      <c r="A39" s="61"/>
      <c r="B39" s="61"/>
      <c r="C39" s="61"/>
      <c r="D39" s="61"/>
      <c r="E39" s="61"/>
      <c r="F39" s="61"/>
      <c r="H39" s="10"/>
      <c r="I39" s="10"/>
      <c r="J39" s="10"/>
      <c r="K39" s="10"/>
      <c r="L39" s="10"/>
      <c r="M39" s="10"/>
    </row>
    <row r="40" spans="1:15" x14ac:dyDescent="0.25">
      <c r="A40" s="2"/>
      <c r="B40" s="2"/>
      <c r="C40" s="2"/>
      <c r="D40" s="2"/>
      <c r="E40" s="2"/>
      <c r="F40" s="2"/>
      <c r="H40" s="10"/>
      <c r="I40" s="10"/>
      <c r="J40" s="10"/>
      <c r="K40" s="10"/>
      <c r="L40" s="10"/>
      <c r="M40" s="10"/>
    </row>
    <row r="41" spans="1:15" ht="14.25" thickBot="1" x14ac:dyDescent="0.3">
      <c r="A41" s="2"/>
      <c r="B41" s="2"/>
      <c r="C41" s="2"/>
      <c r="D41" s="2"/>
      <c r="E41" s="2"/>
      <c r="F41" s="2"/>
      <c r="H41" s="10"/>
      <c r="I41" s="33"/>
      <c r="J41" s="10"/>
      <c r="K41" s="34"/>
      <c r="L41" s="10"/>
      <c r="M41" s="10"/>
    </row>
    <row r="42" spans="1:15" ht="14.25" thickBot="1" x14ac:dyDescent="0.3">
      <c r="A42" s="65" t="s">
        <v>56</v>
      </c>
      <c r="B42" s="66"/>
      <c r="C42" s="66"/>
      <c r="D42" s="66"/>
      <c r="E42" s="66"/>
      <c r="F42" s="67"/>
      <c r="G42" s="10"/>
      <c r="H42" s="33"/>
      <c r="I42" s="10"/>
      <c r="J42" s="34"/>
      <c r="K42" s="10"/>
      <c r="L42" s="10"/>
    </row>
    <row r="43" spans="1:15" x14ac:dyDescent="0.25">
      <c r="A43" s="2"/>
      <c r="B43" s="2"/>
      <c r="C43" s="2"/>
      <c r="D43" s="2"/>
      <c r="E43" s="2"/>
      <c r="F43" s="2"/>
      <c r="G43" s="10"/>
      <c r="H43" s="10"/>
      <c r="I43" s="33"/>
      <c r="J43" s="10"/>
      <c r="K43" s="34"/>
      <c r="L43" s="10"/>
      <c r="M43" s="10"/>
    </row>
    <row r="44" spans="1:15" ht="24.75" customHeight="1" x14ac:dyDescent="0.25">
      <c r="A44" s="20" t="s">
        <v>0</v>
      </c>
      <c r="B44" s="20" t="s">
        <v>1</v>
      </c>
      <c r="C44" s="20" t="s">
        <v>2</v>
      </c>
      <c r="D44" s="21" t="s">
        <v>3</v>
      </c>
      <c r="E44" s="7" t="s">
        <v>4</v>
      </c>
      <c r="F44" s="20" t="s">
        <v>5</v>
      </c>
      <c r="G44" s="10"/>
      <c r="H44" s="10"/>
      <c r="I44" s="33"/>
      <c r="J44" s="10"/>
      <c r="K44" s="34"/>
      <c r="L44" s="10"/>
      <c r="M44" s="10"/>
      <c r="N44" s="43"/>
    </row>
    <row r="45" spans="1:15" x14ac:dyDescent="0.25">
      <c r="A45" s="5"/>
      <c r="B45" s="5"/>
      <c r="C45" s="5"/>
      <c r="D45" s="5"/>
      <c r="E45" s="5"/>
      <c r="F45" s="5"/>
    </row>
    <row r="46" spans="1:15" ht="14.45" customHeight="1" x14ac:dyDescent="0.25">
      <c r="A46" s="25" t="s">
        <v>32</v>
      </c>
      <c r="B46" s="16">
        <f>(14442.72/12)</f>
        <v>1203.56</v>
      </c>
      <c r="C46" s="16">
        <f>+(9092.64/12)</f>
        <v>757.71999999999991</v>
      </c>
      <c r="D46" s="16">
        <f>(300.22*2%)+300.22</f>
        <v>306.2244</v>
      </c>
      <c r="E46" s="22">
        <f>(B46+C46+D46)*0.3784%</f>
        <v>8.5802366495999998</v>
      </c>
      <c r="F46" s="16">
        <f>SUM(B46:D46)</f>
        <v>2267.5043999999998</v>
      </c>
    </row>
    <row r="47" spans="1:15" ht="14.45" customHeight="1" x14ac:dyDescent="0.25">
      <c r="A47" s="25" t="s">
        <v>33</v>
      </c>
      <c r="B47" s="16">
        <f>B46*43.32%</f>
        <v>521.38219200000003</v>
      </c>
      <c r="C47" s="16">
        <f>F47-B47</f>
        <v>460.90071407999994</v>
      </c>
      <c r="D47" s="16"/>
      <c r="E47" s="22">
        <f>E46*43.32%</f>
        <v>3.7169585166067201</v>
      </c>
      <c r="F47" s="16">
        <f>F46*43.32%</f>
        <v>982.28290607999998</v>
      </c>
    </row>
    <row r="48" spans="1:15" x14ac:dyDescent="0.25">
      <c r="A48" s="25" t="s">
        <v>34</v>
      </c>
      <c r="B48" s="16">
        <f>(14442.72/12)</f>
        <v>1203.56</v>
      </c>
      <c r="C48" s="16">
        <f>+(9092.64/12)</f>
        <v>757.71999999999991</v>
      </c>
      <c r="D48" s="16">
        <f>(300.22*2%)+300.22</f>
        <v>306.2244</v>
      </c>
      <c r="E48" s="22">
        <f t="shared" ref="E48:E61" si="0">(B48+C48+D48)*0.3784%</f>
        <v>8.5802366495999998</v>
      </c>
      <c r="F48" s="16">
        <f>SUM(B48:D48)</f>
        <v>2267.5043999999998</v>
      </c>
    </row>
    <row r="49" spans="1:14" ht="13.5" customHeight="1" x14ac:dyDescent="0.25">
      <c r="A49" s="25" t="s">
        <v>35</v>
      </c>
      <c r="B49" s="16">
        <f>(14442.72/12)</f>
        <v>1203.56</v>
      </c>
      <c r="C49" s="16">
        <f>+(9092.64/12)</f>
        <v>757.71999999999991</v>
      </c>
      <c r="D49" s="16">
        <f>(300.22*2%)+300.22</f>
        <v>306.2244</v>
      </c>
      <c r="E49" s="22">
        <f t="shared" si="0"/>
        <v>8.5802366495999998</v>
      </c>
      <c r="F49" s="16">
        <f>SUM(B49:D49)</f>
        <v>2267.5043999999998</v>
      </c>
      <c r="G49" s="10"/>
      <c r="H49" s="10"/>
      <c r="I49" s="10"/>
      <c r="J49" s="10"/>
      <c r="K49" s="10"/>
      <c r="L49" s="10"/>
      <c r="M49" s="10"/>
    </row>
    <row r="50" spans="1:14" ht="13.5" customHeight="1" x14ac:dyDescent="0.25">
      <c r="A50" s="25" t="s">
        <v>36</v>
      </c>
      <c r="B50" s="16">
        <f>(14442.72/12)</f>
        <v>1203.56</v>
      </c>
      <c r="C50" s="16">
        <f>(10363.92/12)</f>
        <v>863.66</v>
      </c>
      <c r="D50" s="16">
        <f>(486.27*2%)+486.27</f>
        <v>495.99539999999996</v>
      </c>
      <c r="E50" s="22">
        <f t="shared" si="0"/>
        <v>9.6992070735999985</v>
      </c>
      <c r="F50" s="16">
        <f>SUM(B50:D50)</f>
        <v>2563.2153999999996</v>
      </c>
      <c r="G50" s="10"/>
      <c r="H50" s="50"/>
      <c r="I50" s="50"/>
      <c r="J50" s="56"/>
      <c r="K50" s="56"/>
      <c r="L50" s="56"/>
      <c r="M50" s="56"/>
    </row>
    <row r="51" spans="1:14" ht="13.5" customHeight="1" x14ac:dyDescent="0.25">
      <c r="A51" s="71" t="s">
        <v>37</v>
      </c>
      <c r="B51" s="24">
        <f>(943.91*2%)+943.91</f>
        <v>962.78819999999996</v>
      </c>
      <c r="C51" s="24">
        <f>(677.38*2%)+677.38</f>
        <v>690.92759999999998</v>
      </c>
      <c r="D51" s="24">
        <f>(302.6*2%)+302.6</f>
        <v>308.65200000000004</v>
      </c>
      <c r="E51" s="22">
        <f>(B51+C51+D51)*0.3784%</f>
        <v>7.4255997552000004</v>
      </c>
      <c r="F51" s="24">
        <f>SUM(B51:D51)</f>
        <v>1962.3678</v>
      </c>
      <c r="G51" s="10"/>
      <c r="H51" s="10"/>
      <c r="I51" s="35"/>
      <c r="J51" s="51"/>
      <c r="K51" s="10"/>
      <c r="L51" s="10"/>
      <c r="M51" s="10"/>
    </row>
    <row r="52" spans="1:14" ht="13.5" customHeight="1" x14ac:dyDescent="0.25">
      <c r="A52" s="71" t="s">
        <v>38</v>
      </c>
      <c r="B52" s="24">
        <f>(430.5*2%)+430.5</f>
        <v>439.11</v>
      </c>
      <c r="C52" s="24">
        <f>(407.78*2%)+407.78</f>
        <v>415.93559999999997</v>
      </c>
      <c r="D52" s="24"/>
      <c r="E52" s="22">
        <f>(B52+C52+D52)*0.3784%</f>
        <v>3.2354925503999996</v>
      </c>
      <c r="F52" s="24">
        <f t="shared" ref="F52:F61" si="1">SUM(B52:D52)</f>
        <v>855.04559999999992</v>
      </c>
      <c r="G52" s="33"/>
      <c r="H52" s="52"/>
      <c r="I52" s="35"/>
      <c r="J52" s="53"/>
      <c r="K52" s="10"/>
      <c r="L52" s="10"/>
      <c r="M52" s="10"/>
    </row>
    <row r="53" spans="1:14" ht="13.5" customHeight="1" x14ac:dyDescent="0.25">
      <c r="A53" s="71" t="s">
        <v>39</v>
      </c>
      <c r="B53" s="24">
        <f>(215.26*2%)+215.26</f>
        <v>219.5652</v>
      </c>
      <c r="C53" s="24">
        <f>(203.91*2%)+203.91</f>
        <v>207.98820000000001</v>
      </c>
      <c r="D53" s="24"/>
      <c r="E53" s="22">
        <f t="shared" si="0"/>
        <v>1.6178620656</v>
      </c>
      <c r="F53" s="24">
        <v>427.56</v>
      </c>
      <c r="G53" s="33"/>
      <c r="H53" s="10"/>
      <c r="I53" s="35"/>
      <c r="J53" s="33"/>
      <c r="K53" s="10"/>
      <c r="L53" s="10"/>
      <c r="M53" s="10"/>
    </row>
    <row r="54" spans="1:14" ht="13.5" customHeight="1" x14ac:dyDescent="0.25">
      <c r="A54" s="71" t="s">
        <v>40</v>
      </c>
      <c r="B54" s="24">
        <f>(430.5*2%)+430.5</f>
        <v>439.11</v>
      </c>
      <c r="C54" s="24">
        <f>(407.78*2%)+407.78</f>
        <v>415.93559999999997</v>
      </c>
      <c r="D54" s="24"/>
      <c r="E54" s="22">
        <f t="shared" si="0"/>
        <v>3.2354925503999996</v>
      </c>
      <c r="F54" s="24">
        <f t="shared" si="1"/>
        <v>855.04559999999992</v>
      </c>
      <c r="G54" s="10"/>
      <c r="H54" s="10"/>
      <c r="I54" s="35"/>
      <c r="J54" s="33"/>
      <c r="K54" s="10"/>
      <c r="L54" s="10"/>
      <c r="M54" s="10"/>
    </row>
    <row r="55" spans="1:14" ht="13.5" customHeight="1" x14ac:dyDescent="0.25">
      <c r="A55" s="71" t="s">
        <v>41</v>
      </c>
      <c r="B55" s="24">
        <f>(215.26*2%)+215.26</f>
        <v>219.5652</v>
      </c>
      <c r="C55" s="24">
        <f>(203.91*2%)+203.91</f>
        <v>207.98820000000001</v>
      </c>
      <c r="D55" s="24"/>
      <c r="E55" s="22">
        <f t="shared" si="0"/>
        <v>1.6178620656</v>
      </c>
      <c r="F55" s="24">
        <v>427.56</v>
      </c>
      <c r="G55" s="10"/>
      <c r="H55" s="10"/>
      <c r="I55" s="35"/>
      <c r="J55" s="33"/>
      <c r="K55" s="10"/>
      <c r="L55" s="10"/>
      <c r="M55" s="10"/>
    </row>
    <row r="56" spans="1:14" ht="13.5" customHeight="1" x14ac:dyDescent="0.25">
      <c r="A56" s="71" t="s">
        <v>42</v>
      </c>
      <c r="B56" s="24">
        <f>(290.79*2%)+290.79</f>
        <v>296.60580000000004</v>
      </c>
      <c r="C56" s="24"/>
      <c r="D56" s="24"/>
      <c r="E56" s="22">
        <f t="shared" si="0"/>
        <v>1.1223563472000002</v>
      </c>
      <c r="F56" s="24">
        <f t="shared" si="1"/>
        <v>296.60580000000004</v>
      </c>
      <c r="G56" s="10"/>
      <c r="H56" s="10"/>
      <c r="I56" s="10"/>
      <c r="J56" s="33"/>
      <c r="K56" s="10"/>
      <c r="L56" s="10"/>
      <c r="M56" s="10"/>
    </row>
    <row r="57" spans="1:14" ht="13.5" customHeight="1" x14ac:dyDescent="0.25">
      <c r="A57" s="71" t="s">
        <v>43</v>
      </c>
      <c r="B57" s="24">
        <f t="shared" ref="B57:B58" si="2">(290.79*2%)+290.79</f>
        <v>296.60580000000004</v>
      </c>
      <c r="C57" s="24"/>
      <c r="D57" s="24"/>
      <c r="E57" s="22">
        <f t="shared" si="0"/>
        <v>1.1223563472000002</v>
      </c>
      <c r="F57" s="24">
        <f t="shared" si="1"/>
        <v>296.60580000000004</v>
      </c>
      <c r="G57" s="10"/>
      <c r="H57" s="33"/>
      <c r="I57" s="10"/>
      <c r="J57" s="10"/>
      <c r="K57" s="10"/>
      <c r="L57" s="10"/>
      <c r="M57" s="10"/>
    </row>
    <row r="58" spans="1:14" ht="13.5" customHeight="1" x14ac:dyDescent="0.25">
      <c r="A58" s="72" t="s">
        <v>44</v>
      </c>
      <c r="B58" s="24">
        <f t="shared" si="2"/>
        <v>296.60580000000004</v>
      </c>
      <c r="C58" s="24"/>
      <c r="D58" s="24"/>
      <c r="E58" s="22">
        <f t="shared" si="0"/>
        <v>1.1223563472000002</v>
      </c>
      <c r="F58" s="24">
        <f t="shared" si="1"/>
        <v>296.60580000000004</v>
      </c>
      <c r="G58" s="10"/>
      <c r="H58" s="10"/>
      <c r="I58" s="10"/>
      <c r="J58" s="10"/>
      <c r="K58" s="10"/>
      <c r="L58" s="10"/>
      <c r="M58" s="10"/>
    </row>
    <row r="59" spans="1:14" ht="13.5" customHeight="1" x14ac:dyDescent="0.25">
      <c r="A59" s="71" t="s">
        <v>45</v>
      </c>
      <c r="B59" s="16">
        <f>(1023.85*2%)+1023.85</f>
        <v>1044.327</v>
      </c>
      <c r="C59" s="16">
        <f>(522.7*2%)+522.7</f>
        <v>533.154</v>
      </c>
      <c r="D59" s="24"/>
      <c r="E59" s="22">
        <f t="shared" si="0"/>
        <v>5.9691881039999997</v>
      </c>
      <c r="F59" s="24">
        <f t="shared" si="1"/>
        <v>1577.481</v>
      </c>
      <c r="G59" s="10"/>
      <c r="H59" s="10"/>
      <c r="I59" s="10"/>
      <c r="J59" s="10"/>
      <c r="K59" s="10"/>
      <c r="L59" s="10"/>
      <c r="M59" s="10"/>
    </row>
    <row r="60" spans="1:14" ht="13.5" customHeight="1" x14ac:dyDescent="0.25">
      <c r="A60" s="73" t="s">
        <v>46</v>
      </c>
      <c r="B60" s="44">
        <f>(1110.17*2%)+1110.17</f>
        <v>1132.3734000000002</v>
      </c>
      <c r="C60" s="44">
        <f>(852.18*2%)+852.18</f>
        <v>869.22359999999992</v>
      </c>
      <c r="D60" s="45"/>
      <c r="E60" s="46">
        <f t="shared" si="0"/>
        <v>7.5740430480000009</v>
      </c>
      <c r="F60" s="45">
        <f t="shared" si="1"/>
        <v>2001.5970000000002</v>
      </c>
    </row>
    <row r="61" spans="1:14" s="43" customFormat="1" ht="13.5" customHeight="1" x14ac:dyDescent="0.25">
      <c r="A61" s="71" t="s">
        <v>58</v>
      </c>
      <c r="B61" s="16">
        <f>+(96.84*2%)+96.84</f>
        <v>98.776800000000009</v>
      </c>
      <c r="C61" s="16"/>
      <c r="D61" s="24"/>
      <c r="E61" s="16">
        <f t="shared" si="0"/>
        <v>0.37377141120000001</v>
      </c>
      <c r="F61" s="24">
        <f t="shared" si="1"/>
        <v>98.776800000000009</v>
      </c>
      <c r="G61" s="36"/>
      <c r="H61" s="36"/>
      <c r="I61" s="36"/>
      <c r="J61" s="36"/>
      <c r="K61" s="36"/>
      <c r="L61" s="36"/>
      <c r="M61" s="36"/>
      <c r="N61" s="36"/>
    </row>
    <row r="62" spans="1:14" ht="14.25" thickBot="1" x14ac:dyDescent="0.3">
      <c r="A62" s="5"/>
      <c r="B62" s="17"/>
      <c r="C62" s="17"/>
      <c r="D62" s="17"/>
      <c r="E62" s="17"/>
      <c r="F62" s="17"/>
    </row>
    <row r="63" spans="1:14" ht="15.75" customHeight="1" thickBot="1" x14ac:dyDescent="0.3">
      <c r="A63" s="62" t="s">
        <v>57</v>
      </c>
      <c r="B63" s="63"/>
      <c r="C63" s="63"/>
      <c r="D63" s="63"/>
      <c r="E63" s="63"/>
      <c r="F63" s="64"/>
    </row>
    <row r="64" spans="1:14" ht="9.75" customHeight="1" x14ac:dyDescent="0.25">
      <c r="A64" s="15"/>
      <c r="B64" s="15"/>
      <c r="C64" s="15"/>
      <c r="D64" s="15"/>
      <c r="E64" s="15"/>
      <c r="F64" s="15"/>
    </row>
    <row r="65" spans="1:10" ht="32.25" customHeight="1" x14ac:dyDescent="0.25">
      <c r="A65" s="20" t="s">
        <v>0</v>
      </c>
      <c r="B65" s="21" t="s">
        <v>15</v>
      </c>
      <c r="C65" s="20" t="s">
        <v>2</v>
      </c>
      <c r="D65" s="21" t="s">
        <v>47</v>
      </c>
      <c r="E65" s="7" t="s">
        <v>4</v>
      </c>
      <c r="F65" s="21" t="s">
        <v>48</v>
      </c>
    </row>
    <row r="66" spans="1:10" ht="14.45" customHeight="1" x14ac:dyDescent="0.25">
      <c r="A66" s="25" t="s">
        <v>32</v>
      </c>
      <c r="B66" s="16">
        <v>742.7</v>
      </c>
      <c r="C66" s="16">
        <v>757.72</v>
      </c>
      <c r="D66" s="16">
        <v>306.22000000000003</v>
      </c>
      <c r="E66" s="16">
        <f>(B66+C66+D66)*0.3784%</f>
        <v>6.8363257600000003</v>
      </c>
      <c r="F66" s="16">
        <f>SUM(B66:D66)</f>
        <v>1806.64</v>
      </c>
      <c r="G66" s="49"/>
      <c r="H66" s="49"/>
      <c r="I66" s="49"/>
      <c r="J66" s="49"/>
    </row>
    <row r="67" spans="1:10" ht="13.15" customHeight="1" x14ac:dyDescent="0.25">
      <c r="A67" s="25" t="s">
        <v>33</v>
      </c>
      <c r="B67" s="16">
        <f>B66*43.32%</f>
        <v>321.73764000000006</v>
      </c>
      <c r="C67" s="16">
        <f>C47</f>
        <v>460.90071407999994</v>
      </c>
      <c r="D67" s="16"/>
      <c r="E67" s="16">
        <f t="shared" ref="E67:E81" si="3">(B67+C67+D67)*0.3784%</f>
        <v>2.9615035318387202</v>
      </c>
      <c r="F67" s="16">
        <f t="shared" ref="F67:F80" si="4">SUM(B67:D67)</f>
        <v>782.63835408</v>
      </c>
    </row>
    <row r="68" spans="1:10" x14ac:dyDescent="0.25">
      <c r="A68" s="18" t="s">
        <v>34</v>
      </c>
      <c r="B68" s="16">
        <v>742.7</v>
      </c>
      <c r="C68" s="16">
        <v>757.72</v>
      </c>
      <c r="D68" s="16">
        <v>306.22000000000003</v>
      </c>
      <c r="E68" s="16">
        <f t="shared" si="3"/>
        <v>6.8363257600000003</v>
      </c>
      <c r="F68" s="16">
        <f t="shared" si="4"/>
        <v>1806.64</v>
      </c>
    </row>
    <row r="69" spans="1:10" x14ac:dyDescent="0.25">
      <c r="A69" s="18" t="s">
        <v>35</v>
      </c>
      <c r="B69" s="16">
        <v>742.7</v>
      </c>
      <c r="C69" s="16">
        <v>757.72</v>
      </c>
      <c r="D69" s="16">
        <v>306.22000000000003</v>
      </c>
      <c r="E69" s="16">
        <f t="shared" si="3"/>
        <v>6.8363257600000003</v>
      </c>
      <c r="F69" s="16">
        <f t="shared" si="4"/>
        <v>1806.64</v>
      </c>
    </row>
    <row r="70" spans="1:10" x14ac:dyDescent="0.25">
      <c r="A70" s="18" t="s">
        <v>36</v>
      </c>
      <c r="B70" s="16">
        <v>742.7</v>
      </c>
      <c r="C70" s="16">
        <v>863.66</v>
      </c>
      <c r="D70" s="16">
        <v>496</v>
      </c>
      <c r="E70" s="16">
        <f t="shared" si="3"/>
        <v>7.9553302400000003</v>
      </c>
      <c r="F70" s="16">
        <f t="shared" si="4"/>
        <v>2102.36</v>
      </c>
    </row>
    <row r="71" spans="1:10" ht="13.15" customHeight="1" x14ac:dyDescent="0.25">
      <c r="A71" s="18" t="s">
        <v>49</v>
      </c>
      <c r="B71" s="24">
        <f>(943.91*2%)+943.91</f>
        <v>962.78819999999996</v>
      </c>
      <c r="C71" s="24">
        <f>(677.38*2%)+677.38</f>
        <v>690.92759999999998</v>
      </c>
      <c r="D71" s="24">
        <f>(302.6*2%)+302.6</f>
        <v>308.65200000000004</v>
      </c>
      <c r="E71" s="16">
        <f t="shared" si="3"/>
        <v>7.4255997552000004</v>
      </c>
      <c r="F71" s="16">
        <f t="shared" si="4"/>
        <v>1962.3678</v>
      </c>
    </row>
    <row r="72" spans="1:10" x14ac:dyDescent="0.25">
      <c r="A72" s="18" t="s">
        <v>50</v>
      </c>
      <c r="B72" s="24">
        <f>(430.5*2%)+430.5</f>
        <v>439.11</v>
      </c>
      <c r="C72" s="24">
        <f>(407.78*2%)+407.78</f>
        <v>415.93559999999997</v>
      </c>
      <c r="D72" s="16"/>
      <c r="E72" s="16">
        <f t="shared" si="3"/>
        <v>3.2354925503999996</v>
      </c>
      <c r="F72" s="16">
        <f t="shared" si="4"/>
        <v>855.04559999999992</v>
      </c>
    </row>
    <row r="73" spans="1:10" x14ac:dyDescent="0.25">
      <c r="A73" s="18" t="s">
        <v>51</v>
      </c>
      <c r="B73" s="24">
        <f>(215.26*2%)+215.26</f>
        <v>219.5652</v>
      </c>
      <c r="C73" s="24">
        <f>(203.91*2%)+203.91</f>
        <v>207.98820000000001</v>
      </c>
      <c r="D73" s="16"/>
      <c r="E73" s="16">
        <f t="shared" si="3"/>
        <v>1.6178620656</v>
      </c>
      <c r="F73" s="16">
        <v>427.56</v>
      </c>
    </row>
    <row r="74" spans="1:10" x14ac:dyDescent="0.25">
      <c r="A74" s="18" t="s">
        <v>52</v>
      </c>
      <c r="B74" s="24">
        <f>(430.5*2%)+430.5</f>
        <v>439.11</v>
      </c>
      <c r="C74" s="24">
        <f>(407.78*2%)+407.78</f>
        <v>415.93559999999997</v>
      </c>
      <c r="D74" s="16"/>
      <c r="E74" s="16">
        <f t="shared" si="3"/>
        <v>3.2354925503999996</v>
      </c>
      <c r="F74" s="16">
        <f t="shared" si="4"/>
        <v>855.04559999999992</v>
      </c>
    </row>
    <row r="75" spans="1:10" x14ac:dyDescent="0.25">
      <c r="A75" s="18" t="s">
        <v>53</v>
      </c>
      <c r="B75" s="24">
        <f>(215.26*2%)+215.26</f>
        <v>219.5652</v>
      </c>
      <c r="C75" s="24">
        <f>(203.91*2%)+203.91</f>
        <v>207.98820000000001</v>
      </c>
      <c r="D75" s="16"/>
      <c r="E75" s="16">
        <f t="shared" si="3"/>
        <v>1.6178620656</v>
      </c>
      <c r="F75" s="16">
        <v>427.56</v>
      </c>
    </row>
    <row r="76" spans="1:10" x14ac:dyDescent="0.25">
      <c r="A76" s="18" t="s">
        <v>42</v>
      </c>
      <c r="B76" s="16"/>
      <c r="C76" s="16"/>
      <c r="D76" s="16"/>
      <c r="E76" s="16"/>
      <c r="F76" s="16">
        <f t="shared" si="4"/>
        <v>0</v>
      </c>
    </row>
    <row r="77" spans="1:10" x14ac:dyDescent="0.25">
      <c r="A77" s="18" t="s">
        <v>43</v>
      </c>
      <c r="B77" s="16"/>
      <c r="C77" s="16"/>
      <c r="D77" s="16"/>
      <c r="E77" s="16"/>
      <c r="F77" s="16">
        <f t="shared" si="4"/>
        <v>0</v>
      </c>
    </row>
    <row r="78" spans="1:10" x14ac:dyDescent="0.25">
      <c r="A78" s="18" t="s">
        <v>44</v>
      </c>
      <c r="B78" s="16"/>
      <c r="C78" s="16"/>
      <c r="D78" s="16"/>
      <c r="E78" s="16"/>
      <c r="F78" s="16">
        <f t="shared" si="4"/>
        <v>0</v>
      </c>
    </row>
    <row r="79" spans="1:10" x14ac:dyDescent="0.25">
      <c r="A79" s="18" t="s">
        <v>45</v>
      </c>
      <c r="B79" s="16">
        <f>(1023.85*2%)+1023.85</f>
        <v>1044.327</v>
      </c>
      <c r="C79" s="16">
        <f>(522.7*2%)+522.7</f>
        <v>533.154</v>
      </c>
      <c r="D79" s="16"/>
      <c r="E79" s="16">
        <f t="shared" si="3"/>
        <v>5.9691881039999997</v>
      </c>
      <c r="F79" s="16">
        <f t="shared" si="4"/>
        <v>1577.481</v>
      </c>
    </row>
    <row r="80" spans="1:10" x14ac:dyDescent="0.25">
      <c r="A80" s="18" t="s">
        <v>46</v>
      </c>
      <c r="B80" s="16">
        <f>(1110.17*2%)+1110.17</f>
        <v>1132.3734000000002</v>
      </c>
      <c r="C80" s="16">
        <f>(852.18*2%)+852.18</f>
        <v>869.22359999999992</v>
      </c>
      <c r="D80" s="16"/>
      <c r="E80" s="16">
        <f t="shared" si="3"/>
        <v>7.5740430480000009</v>
      </c>
      <c r="F80" s="16">
        <f t="shared" si="4"/>
        <v>2001.5970000000002</v>
      </c>
    </row>
    <row r="81" spans="1:8" x14ac:dyDescent="0.25">
      <c r="A81" s="23" t="s">
        <v>58</v>
      </c>
      <c r="B81" s="16">
        <f>+(96.84*2%)+96.84</f>
        <v>98.776800000000009</v>
      </c>
      <c r="C81" s="16"/>
      <c r="D81" s="24"/>
      <c r="E81" s="16">
        <f t="shared" si="3"/>
        <v>0.37377141120000001</v>
      </c>
      <c r="F81" s="24">
        <f t="shared" ref="F81" si="5">SUM(B81:D81)</f>
        <v>98.776800000000009</v>
      </c>
    </row>
    <row r="82" spans="1:8" x14ac:dyDescent="0.25">
      <c r="B82" s="32"/>
      <c r="C82" s="33"/>
      <c r="D82" s="33"/>
      <c r="E82" s="33"/>
      <c r="F82" s="33"/>
      <c r="G82" s="33"/>
    </row>
    <row r="83" spans="1:8" x14ac:dyDescent="0.25">
      <c r="A83" s="49"/>
      <c r="B83" s="49"/>
      <c r="C83" s="49"/>
      <c r="D83" s="49"/>
      <c r="E83" s="49"/>
      <c r="F83" s="49"/>
      <c r="G83" s="49"/>
      <c r="H83" s="49"/>
    </row>
    <row r="84" spans="1:8" x14ac:dyDescent="0.25">
      <c r="A84" s="42" t="s">
        <v>18</v>
      </c>
      <c r="B84" s="18" t="s">
        <v>19</v>
      </c>
      <c r="C84" s="18" t="s">
        <v>20</v>
      </c>
    </row>
    <row r="85" spans="1:8" x14ac:dyDescent="0.25">
      <c r="A85" s="27" t="s">
        <v>21</v>
      </c>
      <c r="B85" s="19">
        <f>555.84/12</f>
        <v>46.32</v>
      </c>
      <c r="C85" s="19">
        <v>28.59</v>
      </c>
      <c r="D85" s="37"/>
    </row>
    <row r="86" spans="1:8" x14ac:dyDescent="0.25">
      <c r="A86" s="27" t="s">
        <v>22</v>
      </c>
      <c r="B86" s="19">
        <f>453.36/12</f>
        <v>37.78</v>
      </c>
      <c r="C86" s="19">
        <v>27.54</v>
      </c>
      <c r="D86" s="37"/>
    </row>
    <row r="87" spans="1:8" x14ac:dyDescent="0.25">
      <c r="A87" s="27" t="s">
        <v>23</v>
      </c>
      <c r="B87" s="19">
        <f>343.08/12</f>
        <v>28.59</v>
      </c>
      <c r="C87" s="19">
        <v>24.69</v>
      </c>
      <c r="D87" s="37"/>
    </row>
    <row r="88" spans="1:8" x14ac:dyDescent="0.25">
      <c r="A88" s="40"/>
      <c r="B88" s="41"/>
      <c r="C88" s="41"/>
    </row>
    <row r="89" spans="1:8" x14ac:dyDescent="0.25">
      <c r="A89" s="55" t="s">
        <v>24</v>
      </c>
      <c r="B89" s="75"/>
      <c r="C89" s="54"/>
      <c r="D89" s="58"/>
      <c r="E89" s="58"/>
      <c r="F89" s="58"/>
      <c r="G89" s="58"/>
      <c r="H89" s="58"/>
    </row>
    <row r="90" spans="1:8" x14ac:dyDescent="0.25">
      <c r="A90" s="8" t="s">
        <v>25</v>
      </c>
      <c r="B90" s="8" t="s">
        <v>26</v>
      </c>
    </row>
    <row r="91" spans="1:8" x14ac:dyDescent="0.25">
      <c r="A91" s="48">
        <v>29</v>
      </c>
      <c r="B91" s="47">
        <f>(158.08*2%)+158.08</f>
        <v>161.24160000000001</v>
      </c>
    </row>
    <row r="92" spans="1:8" x14ac:dyDescent="0.25">
      <c r="A92" s="48">
        <v>27</v>
      </c>
      <c r="B92" s="47">
        <f>(128.03*2%)+128.03</f>
        <v>130.59059999999999</v>
      </c>
    </row>
    <row r="93" spans="1:8" x14ac:dyDescent="0.25">
      <c r="A93" s="48">
        <v>26</v>
      </c>
      <c r="B93" s="47">
        <f>(108.35*2%)+108.35</f>
        <v>110.517</v>
      </c>
    </row>
    <row r="95" spans="1:8" ht="14.25" thickBot="1" x14ac:dyDescent="0.3"/>
    <row r="96" spans="1:8" x14ac:dyDescent="0.25">
      <c r="A96" s="29" t="s">
        <v>27</v>
      </c>
      <c r="B96" s="30"/>
      <c r="C96" s="74"/>
      <c r="E96" s="35"/>
    </row>
    <row r="97" spans="1:6" x14ac:dyDescent="0.25">
      <c r="A97" s="12" t="s">
        <v>28</v>
      </c>
      <c r="B97" s="28">
        <f>(84.23*2%)+84.23</f>
        <v>85.914600000000007</v>
      </c>
    </row>
    <row r="98" spans="1:6" x14ac:dyDescent="0.25">
      <c r="A98" s="13" t="s">
        <v>29</v>
      </c>
      <c r="B98" s="24">
        <f>(75.79*2%)+75.79</f>
        <v>77.305800000000005</v>
      </c>
      <c r="F98" s="3"/>
    </row>
    <row r="99" spans="1:6" x14ac:dyDescent="0.25">
      <c r="A99" s="14" t="s">
        <v>30</v>
      </c>
      <c r="B99" s="16">
        <f>(33.69*2%)+33.69</f>
        <v>34.363799999999998</v>
      </c>
    </row>
    <row r="100" spans="1:6" x14ac:dyDescent="0.25">
      <c r="A100" s="4" t="s">
        <v>31</v>
      </c>
      <c r="B100" s="16">
        <f>(20.21*2%)+20.21</f>
        <v>20.6142</v>
      </c>
    </row>
    <row r="101" spans="1:6" x14ac:dyDescent="0.25">
      <c r="C101" s="1"/>
      <c r="D101" s="33"/>
    </row>
  </sheetData>
  <mergeCells count="9">
    <mergeCell ref="A20:F20"/>
    <mergeCell ref="A2:F2"/>
    <mergeCell ref="A39:F39"/>
    <mergeCell ref="A63:F63"/>
    <mergeCell ref="A42:F42"/>
    <mergeCell ref="A89:B89"/>
    <mergeCell ref="J50:M50"/>
    <mergeCell ref="H33:M33"/>
    <mergeCell ref="D89:H89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landscape" horizontalDpi="1200" verticalDpi="1200" r:id="rId1"/>
  <ignoredErrors>
    <ignoredError sqref="B47:C47 B67:C67 F15 E47:F47 B73:B74 E7 F25 F29 F33 B53:C54 C73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2020-02-19T11:51:55Z</dcterms:modified>
</cp:coreProperties>
</file>