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Z:\SECCION_PAS\RETRIBUCIONS\RETRIBUCIONS 2021_0,9\"/>
    </mc:Choice>
  </mc:AlternateContent>
  <xr:revisionPtr revIDLastSave="0" documentId="13_ncr:1_{76FEDFD3-664E-4CCF-80AF-8F4128C762D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Print_Area" localSheetId="0">Hoja1!$A$1:$G$102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1" l="1"/>
  <c r="D63" i="1"/>
  <c r="B64" i="1"/>
  <c r="C65" i="1"/>
  <c r="E65" i="1" s="1"/>
  <c r="D65" i="1"/>
  <c r="C66" i="1"/>
  <c r="D66" i="1"/>
  <c r="C67" i="1"/>
  <c r="E67" i="1" s="1"/>
  <c r="D67" i="1"/>
  <c r="B68" i="1"/>
  <c r="C68" i="1"/>
  <c r="D68" i="1"/>
  <c r="B69" i="1"/>
  <c r="C69" i="1"/>
  <c r="B70" i="1"/>
  <c r="C70" i="1"/>
  <c r="B71" i="1"/>
  <c r="C71" i="1"/>
  <c r="B72" i="1"/>
  <c r="C72" i="1"/>
  <c r="B73" i="1"/>
  <c r="C73" i="1"/>
  <c r="B74" i="1"/>
  <c r="C74" i="1"/>
  <c r="B84" i="1"/>
  <c r="B85" i="1"/>
  <c r="B88" i="1"/>
  <c r="B87" i="1"/>
  <c r="B86" i="1"/>
  <c r="B80" i="1"/>
  <c r="B79" i="1"/>
  <c r="B78" i="1"/>
  <c r="B58" i="1"/>
  <c r="F58" i="1" s="1"/>
  <c r="C57" i="1"/>
  <c r="B57" i="1"/>
  <c r="C56" i="1"/>
  <c r="B56" i="1"/>
  <c r="B55" i="1"/>
  <c r="F55" i="1" s="1"/>
  <c r="B54" i="1"/>
  <c r="F54" i="1" s="1"/>
  <c r="B53" i="1"/>
  <c r="F53" i="1" s="1"/>
  <c r="C52" i="1"/>
  <c r="B52" i="1"/>
  <c r="F52" i="1" s="1"/>
  <c r="C51" i="1"/>
  <c r="B51" i="1"/>
  <c r="C50" i="1"/>
  <c r="B50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3" i="1"/>
  <c r="C43" i="1"/>
  <c r="B43" i="1"/>
  <c r="B99" i="1"/>
  <c r="B98" i="1"/>
  <c r="B97" i="1"/>
  <c r="B102" i="1"/>
  <c r="B96" i="1"/>
  <c r="B35" i="1"/>
  <c r="B36" i="1" s="1"/>
  <c r="D34" i="1"/>
  <c r="C34" i="1"/>
  <c r="B31" i="1"/>
  <c r="B32" i="1" s="1"/>
  <c r="D30" i="1"/>
  <c r="C30" i="1"/>
  <c r="B27" i="1"/>
  <c r="B28" i="1" s="1"/>
  <c r="D26" i="1"/>
  <c r="C26" i="1"/>
  <c r="D16" i="1"/>
  <c r="C16" i="1"/>
  <c r="B16" i="1"/>
  <c r="D12" i="1"/>
  <c r="C12" i="1"/>
  <c r="B12" i="1"/>
  <c r="D8" i="1"/>
  <c r="C8" i="1"/>
  <c r="B8" i="1"/>
  <c r="E68" i="1" l="1"/>
  <c r="E66" i="1"/>
  <c r="E69" i="1"/>
  <c r="E74" i="1"/>
  <c r="E72" i="1"/>
  <c r="E70" i="1"/>
  <c r="F67" i="1"/>
  <c r="F66" i="1"/>
  <c r="F65" i="1"/>
  <c r="E63" i="1"/>
  <c r="F63" i="1"/>
  <c r="E73" i="1"/>
  <c r="E71" i="1"/>
  <c r="E49" i="1"/>
  <c r="F70" i="1"/>
  <c r="F74" i="1"/>
  <c r="F73" i="1"/>
  <c r="F72" i="1"/>
  <c r="F57" i="1"/>
  <c r="F47" i="1"/>
  <c r="F16" i="1"/>
  <c r="F17" i="1" s="1"/>
  <c r="E30" i="1"/>
  <c r="E31" i="1" s="1"/>
  <c r="E32" i="1" s="1"/>
  <c r="E34" i="1"/>
  <c r="E35" i="1" s="1"/>
  <c r="E36" i="1" s="1"/>
  <c r="F26" i="1"/>
  <c r="F27" i="1" s="1"/>
  <c r="C27" i="1" s="1"/>
  <c r="C28" i="1" s="1"/>
  <c r="F28" i="1" s="1"/>
  <c r="E48" i="1"/>
  <c r="F12" i="1"/>
  <c r="F13" i="1" s="1"/>
  <c r="F46" i="1"/>
  <c r="F45" i="1"/>
  <c r="F50" i="1"/>
  <c r="E57" i="1"/>
  <c r="E16" i="1"/>
  <c r="E17" i="1" s="1"/>
  <c r="E18" i="1" s="1"/>
  <c r="F8" i="1"/>
  <c r="F9" i="1" s="1"/>
  <c r="E12" i="1"/>
  <c r="E13" i="1" s="1"/>
  <c r="E14" i="1" s="1"/>
  <c r="F30" i="1"/>
  <c r="F31" i="1" s="1"/>
  <c r="C31" i="1" s="1"/>
  <c r="C32" i="1" s="1"/>
  <c r="F32" i="1" s="1"/>
  <c r="E43" i="1"/>
  <c r="E44" i="1" s="1"/>
  <c r="E50" i="1"/>
  <c r="E58" i="1"/>
  <c r="E8" i="1"/>
  <c r="E9" i="1" s="1"/>
  <c r="F34" i="1"/>
  <c r="F35" i="1" s="1"/>
  <c r="C35" i="1" s="1"/>
  <c r="C36" i="1" s="1"/>
  <c r="F36" i="1" s="1"/>
  <c r="E46" i="1"/>
  <c r="E51" i="1"/>
  <c r="F56" i="1"/>
  <c r="B9" i="1"/>
  <c r="B10" i="1" s="1"/>
  <c r="B13" i="1"/>
  <c r="B14" i="1" s="1"/>
  <c r="B17" i="1"/>
  <c r="B18" i="1" s="1"/>
  <c r="E26" i="1"/>
  <c r="E27" i="1" s="1"/>
  <c r="E28" i="1" s="1"/>
  <c r="E52" i="1"/>
  <c r="E53" i="1"/>
  <c r="E54" i="1"/>
  <c r="E55" i="1"/>
  <c r="B44" i="1"/>
  <c r="E45" i="1"/>
  <c r="E47" i="1"/>
  <c r="E56" i="1"/>
  <c r="F43" i="1"/>
  <c r="G12" i="1" l="1"/>
  <c r="G16" i="1"/>
  <c r="G8" i="1"/>
  <c r="C9" i="1"/>
  <c r="C10" i="1" s="1"/>
  <c r="E10" i="1" s="1"/>
  <c r="F10" i="1"/>
  <c r="G10" i="1" s="1"/>
  <c r="G9" i="1"/>
  <c r="F44" i="1"/>
  <c r="C17" i="1"/>
  <c r="C18" i="1" s="1"/>
  <c r="F18" i="1" s="1"/>
  <c r="G18" i="1" s="1"/>
  <c r="G17" i="1"/>
  <c r="C13" i="1"/>
  <c r="C14" i="1" s="1"/>
  <c r="F14" i="1"/>
  <c r="G14" i="1" s="1"/>
  <c r="G13" i="1"/>
  <c r="C44" i="1" l="1"/>
  <c r="C64" i="1" s="1"/>
  <c r="F64" i="1" l="1"/>
  <c r="E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18.5.1 Presupuestos Generales del Estado (BOE 31,12,2020)</t>
        </r>
      </text>
    </comment>
    <comment ref="C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22.1.C Presupuestos Generales del Estado (BOE 31,12,2020)</t>
        </r>
      </text>
    </comment>
    <comment ref="D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22.1.D Presupuestos Generales del Estado (BOE 31,12,2020)</t>
        </r>
      </text>
    </comment>
    <comment ref="B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18.5.1 Presupuestos Generales del Estado (BOE 31,12,2020)</t>
        </r>
      </text>
    </comment>
    <comment ref="C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22.1.C Presupuestos Generales del Estado (BOE 31,12,2020)</t>
        </r>
      </text>
    </comment>
    <comment ref="D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22.1.D Presupuestos Generales del Estado (BOE 31,12,2020)</t>
        </r>
      </text>
    </comment>
    <comment ref="B1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18.5.1 Presupuestos Generales del Estado (BOE 31,12,2020)</t>
        </r>
      </text>
    </comment>
    <comment ref="C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22.1.C Presupuestos Generales del Estado (BOE 31,12,2020)</t>
        </r>
      </text>
    </comment>
    <comment ref="D1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22.1.D Presupuestos Generales del Estado (BOE 31,12,2020)</t>
        </r>
      </text>
    </comment>
    <comment ref="B2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18.5.2 Presupuestos Generales del Estado (BOE 31,12,2020)
</t>
        </r>
      </text>
    </comment>
    <comment ref="J2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18.5.2 Presupuestos Generales del Estado (BOE 31,12,2020)</t>
        </r>
      </text>
    </comment>
    <comment ref="I2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18.5.1 Presupuestos Generales del Estado (BOE 31,12,2020)</t>
        </r>
      </text>
    </comment>
    <comment ref="J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18.5.2 Presupuestos Generales del Estado (BOE 31,12,2020)</t>
        </r>
      </text>
    </comment>
    <comment ref="I2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18.5.1 Presupuestos Generales del Estado (BOE 31,12,2020)</t>
        </r>
      </text>
    </comment>
    <comment ref="J2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18.5.2 Presupuestos Generales del Estado (BOE 31,12,2020)</t>
        </r>
      </text>
    </comment>
    <comment ref="B3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18.5.2 Presupuestos Generales del Estado (BOE 31,12,2020)
</t>
        </r>
      </text>
    </comment>
    <comment ref="B3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18.5.2 Presupuestos Generales del Estado (BOE 31,12,2020)
</t>
        </r>
      </text>
    </comment>
    <comment ref="H50" authorId="0" shapeId="0" xr:uid="{00000000-0006-0000-0000-000012000000}">
      <text>
        <r>
          <rPr>
            <sz val="9"/>
            <color indexed="81"/>
            <rFont val="Tahoma"/>
            <family val="2"/>
          </rPr>
          <t>RD 1/2020</t>
        </r>
      </text>
    </comment>
    <comment ref="A53" authorId="0" shapeId="0" xr:uid="{00000000-0006-0000-0000-000013000000}">
      <text>
        <r>
          <rPr>
            <sz val="9"/>
            <color indexed="81"/>
            <rFont val="Arial Narrow"/>
            <family val="2"/>
          </rPr>
          <t xml:space="preserve">art 32.6 II Convenio Colect PDI - retribucións iguais que Asoc T1P3 (soldo + CD) </t>
        </r>
      </text>
    </comment>
    <comment ref="A54" authorId="0" shapeId="0" xr:uid="{00000000-0006-0000-0000-000014000000}">
      <text>
        <r>
          <rPr>
            <sz val="9"/>
            <color indexed="81"/>
            <rFont val="Arial Narrow"/>
            <family val="2"/>
          </rPr>
          <t xml:space="preserve">art 32.6 II Convenio Colect PDI - retribucións iguais que Asoc T1P3 (soldo + CD) </t>
        </r>
      </text>
    </comment>
    <comment ref="A55" authorId="0" shapeId="0" xr:uid="{00000000-0006-0000-0000-000015000000}">
      <text>
        <r>
          <rPr>
            <sz val="9"/>
            <color indexed="81"/>
            <rFont val="Arial Narrow"/>
            <family val="2"/>
          </rPr>
          <t xml:space="preserve">art 32.6 II Convenio Colect PDI - retribucións iguais que Asoc T1P3 (soldo + CD) </t>
        </r>
      </text>
    </comment>
    <comment ref="H55" authorId="0" shapeId="0" xr:uid="{00000000-0006-0000-0000-000016000000}">
      <text>
        <r>
          <rPr>
            <b/>
            <sz val="9"/>
            <color indexed="81"/>
            <rFont val="Arial Narrow"/>
            <family val="2"/>
          </rPr>
          <t>RD.231/2020 SMI 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Art. 18.5.1 Presupuestos Generales del Estado (BOE 31,12,2020)</t>
        </r>
      </text>
    </comment>
  </commentList>
</comments>
</file>

<file path=xl/sharedStrings.xml><?xml version="1.0" encoding="utf-8"?>
<sst xmlns="http://schemas.openxmlformats.org/spreadsheetml/2006/main" count="97" uniqueCount="69">
  <si>
    <t>CATEGORIAS</t>
  </si>
  <si>
    <t>SOLDO</t>
  </si>
  <si>
    <t>C. DESTINO</t>
  </si>
  <si>
    <t>C. ESPECIF.</t>
  </si>
  <si>
    <t>RET. ADIC.2/92</t>
  </si>
  <si>
    <t>TOTAL MES</t>
  </si>
  <si>
    <t>TOTAL (mensuais+extras)</t>
  </si>
  <si>
    <t>Cated. Univ. T.C.</t>
  </si>
  <si>
    <t>Horas extras</t>
  </si>
  <si>
    <t>PDI Laboral</t>
  </si>
  <si>
    <t>33 €/hora</t>
  </si>
  <si>
    <t>Cated. Univ. 6 H.</t>
  </si>
  <si>
    <t>Cated. Univ. 3 H.</t>
  </si>
  <si>
    <t>Tit. Univ. T.C. e Cat. E.U.</t>
  </si>
  <si>
    <t>PDI Func</t>
  </si>
  <si>
    <t>70,71.-€/hota</t>
  </si>
  <si>
    <t>Tit. Univ. H 6. e Cat. E.U.</t>
  </si>
  <si>
    <t>Tit. Univ. H 3. e Cat. E.U.</t>
  </si>
  <si>
    <t>Tit. E.U. T.C.</t>
  </si>
  <si>
    <t>Tit. E.U. 6 H.</t>
  </si>
  <si>
    <t>Tit. E.U. 3 H.</t>
  </si>
  <si>
    <t>SOLDO EXTRA</t>
  </si>
  <si>
    <t>PAGA ADICIONAL C. ESPECIF.</t>
  </si>
  <si>
    <t>TOTAL EXTRA</t>
  </si>
  <si>
    <t>Quinquenios e Sexenios</t>
  </si>
  <si>
    <t>Nivel</t>
  </si>
  <si>
    <t>Complementos Autonómicos</t>
  </si>
  <si>
    <t>Trienios</t>
  </si>
  <si>
    <t>Mensual TC</t>
  </si>
  <si>
    <t>Labor Doc</t>
  </si>
  <si>
    <t>A1</t>
  </si>
  <si>
    <t>Labor Invest</t>
  </si>
  <si>
    <t>Excelenc</t>
  </si>
  <si>
    <t>Xestión</t>
  </si>
  <si>
    <t>Lector 6 H.</t>
  </si>
  <si>
    <t>Prof. Laboral asimilado a TEU</t>
  </si>
  <si>
    <t>Prof. Colaborador = T.E.U.</t>
  </si>
  <si>
    <t>Prof. Contratado Doutor</t>
  </si>
  <si>
    <t>Prof. Interino Substit. T3-TC</t>
  </si>
  <si>
    <t>Prof. Interino Substit. T3-P6</t>
  </si>
  <si>
    <t>Prof. Interino Substit. T3-P3</t>
  </si>
  <si>
    <t>Asociado T3-P6</t>
  </si>
  <si>
    <t>Asociado T3-P3</t>
  </si>
  <si>
    <t>Asociado Practicum</t>
  </si>
  <si>
    <t>Asociado Ciencias da Saúde</t>
  </si>
  <si>
    <t>Asociado CC Saúde Rof Codina</t>
  </si>
  <si>
    <t>Axudante</t>
  </si>
  <si>
    <t>Prof. Axudante Doutor</t>
  </si>
  <si>
    <t>Emérito</t>
  </si>
  <si>
    <t>PAGA ADIC. C. ESPECIF.</t>
  </si>
  <si>
    <t>TOTAL MENSUAL EXTRA</t>
  </si>
  <si>
    <t>Lector T.C.</t>
  </si>
  <si>
    <t>Prof. Interino Substit. U-TC</t>
  </si>
  <si>
    <t>Prof. Interino Substit. U-P6</t>
  </si>
  <si>
    <t>Prof. Interino Substit. U-P3</t>
  </si>
  <si>
    <t>Asociado / P6</t>
  </si>
  <si>
    <t>Asociado / P3</t>
  </si>
  <si>
    <t>Compl. Secundaria</t>
  </si>
  <si>
    <t>1º período</t>
  </si>
  <si>
    <t>2º período</t>
  </si>
  <si>
    <t>3º período</t>
  </si>
  <si>
    <t>4º período</t>
  </si>
  <si>
    <t>5º período</t>
  </si>
  <si>
    <t>RETRIBUCIÓNS PDI  DESDE XANEIRO 2021</t>
  </si>
  <si>
    <t>RETRIBUCIÓNS MENSUAIS PDI - FUNCIONARIOS DESDE XANEIRO 2021</t>
  </si>
  <si>
    <t>Importe mensual</t>
  </si>
  <si>
    <t>RETRIBUCIÓNS PAGA EXTRA PDI - CONTRATADOS LABORAIS DESDE XANEIRO 2021</t>
  </si>
  <si>
    <t>RETRIBUCIÓNS MENSUAL PDI - CONTRATADOS LABORAIS DESDE XANEIRO 2021</t>
  </si>
  <si>
    <t>RETRIBUCIÓNS PAGA EXTRA PDI - FUNCIONARIOS DESDE XANEIRO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</si>
</sst>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Arial Narrow"/>
      <family val="2"/>
    </font>
    <font>
      <b/>
      <sz val="9"/>
      <color indexed="8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4" xfId="0" applyFont="1" applyBorder="1" applyAlignment="1">
      <alignment horizontal="center"/>
    </xf>
    <xf numFmtId="164" fontId="1" fillId="0" borderId="4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0" fontId="1" fillId="0" borderId="0" xfId="0" applyFont="1" applyFill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1" fillId="0" borderId="4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4" xfId="0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vertical="center"/>
    </xf>
    <xf numFmtId="0" fontId="1" fillId="0" borderId="4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5" xfId="0" applyNumberFormat="1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/>
    <xf numFmtId="164" fontId="1" fillId="0" borderId="8" xfId="0" applyNumberFormat="1" applyFont="1" applyFill="1" applyBorder="1" applyAlignment="1">
      <alignment vertical="center"/>
    </xf>
    <xf numFmtId="164" fontId="1" fillId="0" borderId="9" xfId="0" applyNumberFormat="1" applyFont="1" applyFill="1" applyBorder="1"/>
    <xf numFmtId="0" fontId="1" fillId="0" borderId="0" xfId="0" applyFont="1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1" fillId="0" borderId="4" xfId="0" applyFont="1" applyFill="1" applyBorder="1"/>
    <xf numFmtId="164" fontId="1" fillId="0" borderId="5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2"/>
  <sheetViews>
    <sheetView tabSelected="1" workbookViewId="0">
      <selection sqref="A1:G102"/>
    </sheetView>
  </sheetViews>
  <sheetFormatPr baseColWidth="10" defaultRowHeight="15" x14ac:dyDescent="0.25"/>
  <cols>
    <col min="1" max="1" width="20.140625" style="1" customWidth="1"/>
    <col min="2" max="2" width="10.42578125" style="1" customWidth="1"/>
    <col min="3" max="3" width="10.28515625" style="1" customWidth="1"/>
    <col min="4" max="4" width="9.28515625" style="1" bestFit="1" customWidth="1"/>
    <col min="5" max="5" width="7.5703125" style="1" customWidth="1"/>
    <col min="6" max="6" width="10.85546875" style="1" customWidth="1"/>
    <col min="7" max="7" width="21.42578125" style="1" customWidth="1"/>
    <col min="8" max="8" width="8.28515625" style="1" customWidth="1"/>
    <col min="9" max="10" width="10.28515625" style="1" customWidth="1"/>
  </cols>
  <sheetData>
    <row r="1" spans="1:9" ht="15.75" x14ac:dyDescent="0.25">
      <c r="A1" s="57" t="s">
        <v>63</v>
      </c>
      <c r="B1" s="57"/>
      <c r="C1" s="57"/>
      <c r="D1" s="57"/>
      <c r="E1" s="57"/>
      <c r="F1" s="57"/>
      <c r="G1" s="57"/>
      <c r="H1" s="2"/>
      <c r="I1" s="2"/>
    </row>
    <row r="2" spans="1:9" x14ac:dyDescent="0.25">
      <c r="A2" s="48"/>
      <c r="B2" s="48"/>
      <c r="C2" s="48"/>
      <c r="D2" s="48"/>
      <c r="E2" s="48"/>
      <c r="F2" s="48"/>
      <c r="G2" s="2"/>
      <c r="H2" s="2"/>
      <c r="I2" s="2"/>
    </row>
    <row r="3" spans="1:9" x14ac:dyDescent="0.25">
      <c r="A3" s="48"/>
      <c r="B3" s="48"/>
      <c r="C3" s="48"/>
      <c r="D3" s="48"/>
      <c r="E3" s="48"/>
      <c r="F3" s="48"/>
      <c r="G3" s="2"/>
      <c r="H3" s="2"/>
      <c r="I3" s="2"/>
    </row>
    <row r="4" spans="1:9" x14ac:dyDescent="0.25">
      <c r="A4" s="58" t="s">
        <v>64</v>
      </c>
      <c r="B4" s="58"/>
      <c r="C4" s="58"/>
      <c r="D4" s="58"/>
      <c r="E4" s="58"/>
      <c r="F4" s="58"/>
      <c r="G4" s="58"/>
    </row>
    <row r="5" spans="1:9" x14ac:dyDescent="0.25">
      <c r="H5" s="2"/>
    </row>
    <row r="6" spans="1:9" ht="27" x14ac:dyDescent="0.25">
      <c r="A6" s="3" t="s">
        <v>0</v>
      </c>
      <c r="B6" s="3" t="s">
        <v>1</v>
      </c>
      <c r="C6" s="3" t="s">
        <v>2</v>
      </c>
      <c r="D6" s="3" t="s">
        <v>3</v>
      </c>
      <c r="E6" s="4" t="s">
        <v>4</v>
      </c>
      <c r="F6" s="3" t="s">
        <v>5</v>
      </c>
      <c r="G6" s="5" t="s">
        <v>6</v>
      </c>
    </row>
    <row r="7" spans="1:9" x14ac:dyDescent="0.25">
      <c r="G7" s="6"/>
    </row>
    <row r="8" spans="1:9" x14ac:dyDescent="0.25">
      <c r="A8" s="7" t="s">
        <v>7</v>
      </c>
      <c r="B8" s="8">
        <f>(14572.68/12)</f>
        <v>1214.3900000000001</v>
      </c>
      <c r="C8" s="8">
        <f>(11417.52/12)</f>
        <v>951.46</v>
      </c>
      <c r="D8" s="8">
        <f>(1063.17*0.9%)+1063.17</f>
        <v>1072.7385300000001</v>
      </c>
      <c r="E8" s="8">
        <f>(B8+C8+D8)*0.3784%</f>
        <v>12.254818997520001</v>
      </c>
      <c r="F8" s="8">
        <f>B8+C8+D8</f>
        <v>3238.5885300000004</v>
      </c>
      <c r="G8" s="9">
        <f>(F8*12)+(F26*2)</f>
        <v>44410.219420000001</v>
      </c>
    </row>
    <row r="9" spans="1:9" x14ac:dyDescent="0.25">
      <c r="A9" s="7" t="s">
        <v>11</v>
      </c>
      <c r="B9" s="8">
        <f>B8*43.32%</f>
        <v>526.07374800000002</v>
      </c>
      <c r="C9" s="8">
        <f>F9-B9</f>
        <v>876.88280319600017</v>
      </c>
      <c r="D9" s="8"/>
      <c r="E9" s="8">
        <f>E8*43.32%</f>
        <v>5.3087875897256644</v>
      </c>
      <c r="F9" s="8">
        <f>F8*43.32%</f>
        <v>1402.9565511960002</v>
      </c>
      <c r="G9" s="9">
        <f>(F9*12)+(F27*2)</f>
        <v>19238.507052744004</v>
      </c>
    </row>
    <row r="10" spans="1:9" x14ac:dyDescent="0.25">
      <c r="A10" s="7" t="s">
        <v>12</v>
      </c>
      <c r="B10" s="8">
        <f>B9/2</f>
        <v>263.03687400000001</v>
      </c>
      <c r="C10" s="8">
        <f>C9/2</f>
        <v>438.44140159800008</v>
      </c>
      <c r="D10" s="8"/>
      <c r="E10" s="8">
        <f>(B10+C10+D10)*0.3784%</f>
        <v>2.6543937948628322</v>
      </c>
      <c r="F10" s="8">
        <f>F9/2</f>
        <v>701.4782755980001</v>
      </c>
      <c r="G10" s="9">
        <f>(F10*12)+(F28*2)</f>
        <v>9619.2535263720019</v>
      </c>
    </row>
    <row r="11" spans="1:9" x14ac:dyDescent="0.25">
      <c r="A11" s="12"/>
      <c r="B11" s="13"/>
      <c r="C11" s="13"/>
      <c r="D11" s="13"/>
      <c r="E11" s="13"/>
      <c r="F11" s="13"/>
      <c r="G11" s="14"/>
    </row>
    <row r="12" spans="1:9" x14ac:dyDescent="0.25">
      <c r="A12" s="7" t="s">
        <v>13</v>
      </c>
      <c r="B12" s="8">
        <f>(14572.68/12)</f>
        <v>1214.3900000000001</v>
      </c>
      <c r="C12" s="8">
        <f>(10457.16/12)</f>
        <v>871.43</v>
      </c>
      <c r="D12" s="8">
        <f>(496*0.9%)+496</f>
        <v>500.464</v>
      </c>
      <c r="E12" s="8">
        <f>(B12+C12+D12)*0.3784%</f>
        <v>9.7864986560000009</v>
      </c>
      <c r="F12" s="8">
        <f>SUM(B12:D12)</f>
        <v>2586.2840000000001</v>
      </c>
      <c r="G12" s="9">
        <f>(F12*12)+(F30*2)</f>
        <v>35277.956000000006</v>
      </c>
    </row>
    <row r="13" spans="1:9" x14ac:dyDescent="0.25">
      <c r="A13" s="7" t="s">
        <v>16</v>
      </c>
      <c r="B13" s="8">
        <f>B12*43.32%</f>
        <v>526.07374800000002</v>
      </c>
      <c r="C13" s="8">
        <f>F13-B13</f>
        <v>594.30448080000019</v>
      </c>
      <c r="D13" s="8"/>
      <c r="E13" s="8">
        <f>E12*43.32%</f>
        <v>4.2395112177792003</v>
      </c>
      <c r="F13" s="8">
        <f>F12*43.32%</f>
        <v>1120.3782288000002</v>
      </c>
      <c r="G13" s="9">
        <f>(F13*12)+(F31*2)</f>
        <v>15282.410539200002</v>
      </c>
    </row>
    <row r="14" spans="1:9" x14ac:dyDescent="0.25">
      <c r="A14" s="7" t="s">
        <v>17</v>
      </c>
      <c r="B14" s="8">
        <f>B13/2</f>
        <v>263.03687400000001</v>
      </c>
      <c r="C14" s="8">
        <f>C13/2</f>
        <v>297.1522404000001</v>
      </c>
      <c r="D14" s="8"/>
      <c r="E14" s="8">
        <f>E13/2</f>
        <v>2.1197556088896001</v>
      </c>
      <c r="F14" s="8">
        <f>F13/2</f>
        <v>560.18911440000011</v>
      </c>
      <c r="G14" s="9">
        <f>(F14*12)+(F32*2)</f>
        <v>7641.205269600001</v>
      </c>
    </row>
    <row r="15" spans="1:9" x14ac:dyDescent="0.25">
      <c r="A15" s="12"/>
      <c r="B15" s="13"/>
      <c r="C15" s="13"/>
      <c r="D15" s="13"/>
      <c r="E15" s="13"/>
      <c r="F15" s="13"/>
      <c r="G15" s="6"/>
    </row>
    <row r="16" spans="1:9" x14ac:dyDescent="0.25">
      <c r="A16" s="7" t="s">
        <v>18</v>
      </c>
      <c r="B16" s="8">
        <f>(14572.68/12)</f>
        <v>1214.3900000000001</v>
      </c>
      <c r="C16" s="8">
        <f>(9174.48/12)</f>
        <v>764.54</v>
      </c>
      <c r="D16" s="8">
        <f>(306.22*0.9%)+306.22</f>
        <v>308.97598000000005</v>
      </c>
      <c r="E16" s="8">
        <f>(B16+C16+D16)*0.3784%</f>
        <v>8.6574362283199999</v>
      </c>
      <c r="F16" s="8">
        <f>SUM(B16:D16)</f>
        <v>2287.90598</v>
      </c>
      <c r="G16" s="9">
        <f>(F16*12)+(F34*2)</f>
        <v>31100.663720000004</v>
      </c>
      <c r="H16" s="16"/>
      <c r="I16" s="17"/>
    </row>
    <row r="17" spans="1:10" x14ac:dyDescent="0.25">
      <c r="A17" s="7" t="s">
        <v>19</v>
      </c>
      <c r="B17" s="8">
        <f>B16*43.32%</f>
        <v>526.07374800000002</v>
      </c>
      <c r="C17" s="8">
        <f>F17-B17</f>
        <v>465.04712253600007</v>
      </c>
      <c r="D17" s="8"/>
      <c r="E17" s="8">
        <f>E16*43.32%</f>
        <v>3.7504013741082241</v>
      </c>
      <c r="F17" s="8">
        <f>F16*43.32%</f>
        <v>991.1208705360001</v>
      </c>
      <c r="G17" s="9">
        <f>(F17*12)+(F35*2)</f>
        <v>13472.807523504001</v>
      </c>
      <c r="H17" s="17"/>
      <c r="I17" s="2"/>
    </row>
    <row r="18" spans="1:10" x14ac:dyDescent="0.25">
      <c r="A18" s="7" t="s">
        <v>20</v>
      </c>
      <c r="B18" s="8">
        <f>B17/2</f>
        <v>263.03687400000001</v>
      </c>
      <c r="C18" s="8">
        <f>C17/2</f>
        <v>232.52356126800004</v>
      </c>
      <c r="D18" s="8"/>
      <c r="E18" s="8">
        <f>E17/2</f>
        <v>1.875200687054112</v>
      </c>
      <c r="F18" s="8">
        <f>SUM(B18:D18)</f>
        <v>495.56043526800005</v>
      </c>
      <c r="G18" s="9">
        <f>(F18*12)+(F36*2)</f>
        <v>6736.4037617520007</v>
      </c>
      <c r="H18" s="17"/>
      <c r="I18" s="2"/>
    </row>
    <row r="19" spans="1:10" x14ac:dyDescent="0.25">
      <c r="A19" s="12"/>
      <c r="B19" s="11"/>
      <c r="C19" s="11"/>
      <c r="D19" s="11"/>
      <c r="E19" s="11"/>
      <c r="F19" s="11"/>
      <c r="H19" s="17"/>
      <c r="I19" s="2"/>
    </row>
    <row r="20" spans="1:10" x14ac:dyDescent="0.25">
      <c r="A20" s="12"/>
      <c r="B20" s="11"/>
      <c r="C20" s="11"/>
      <c r="D20" s="11"/>
      <c r="E20" s="11"/>
      <c r="F20" s="11"/>
      <c r="H20" s="17"/>
      <c r="I20" s="17"/>
    </row>
    <row r="21" spans="1:10" ht="15.75" thickBot="1" x14ac:dyDescent="0.3"/>
    <row r="22" spans="1:10" ht="15.75" thickBot="1" x14ac:dyDescent="0.3">
      <c r="A22" s="60" t="s">
        <v>68</v>
      </c>
      <c r="B22" s="61"/>
      <c r="C22" s="61"/>
      <c r="D22" s="61"/>
      <c r="E22" s="61"/>
      <c r="F22" s="62"/>
    </row>
    <row r="24" spans="1:10" ht="40.5" x14ac:dyDescent="0.25">
      <c r="A24" s="3" t="s">
        <v>0</v>
      </c>
      <c r="B24" s="4" t="s">
        <v>21</v>
      </c>
      <c r="C24" s="3" t="s">
        <v>2</v>
      </c>
      <c r="D24" s="4" t="s">
        <v>22</v>
      </c>
      <c r="E24" s="4" t="s">
        <v>4</v>
      </c>
      <c r="F24" s="3" t="s">
        <v>23</v>
      </c>
    </row>
    <row r="25" spans="1:10" x14ac:dyDescent="0.25">
      <c r="H25" s="2"/>
      <c r="I25" s="2"/>
      <c r="J25" s="2"/>
    </row>
    <row r="26" spans="1:10" x14ac:dyDescent="0.25">
      <c r="A26" s="7" t="s">
        <v>7</v>
      </c>
      <c r="B26" s="8">
        <v>749.38</v>
      </c>
      <c r="C26" s="8">
        <f>(11417.52/12)</f>
        <v>951.46</v>
      </c>
      <c r="D26" s="8">
        <f>(1063.17*0.9%)+1063.17</f>
        <v>1072.7385300000001</v>
      </c>
      <c r="E26" s="8">
        <f>(B26+C26+D26)*0.3784%</f>
        <v>10.495221157520001</v>
      </c>
      <c r="F26" s="8">
        <f>SUM(B26:D26)</f>
        <v>2773.5785300000002</v>
      </c>
      <c r="H26" s="2"/>
      <c r="I26" s="2"/>
      <c r="J26" s="46"/>
    </row>
    <row r="27" spans="1:10" x14ac:dyDescent="0.25">
      <c r="A27" s="7" t="s">
        <v>11</v>
      </c>
      <c r="B27" s="8">
        <f>B26*43.32%</f>
        <v>324.631416</v>
      </c>
      <c r="C27" s="8">
        <f>F27-B27</f>
        <v>876.88280319600017</v>
      </c>
      <c r="D27" s="8"/>
      <c r="E27" s="8">
        <f>E26*43.32%</f>
        <v>4.5465298054376646</v>
      </c>
      <c r="F27" s="8">
        <f>F26*43.32%</f>
        <v>1201.5142191960001</v>
      </c>
      <c r="H27" s="2"/>
      <c r="I27" s="2"/>
      <c r="J27" s="34"/>
    </row>
    <row r="28" spans="1:10" x14ac:dyDescent="0.25">
      <c r="A28" s="7" t="s">
        <v>12</v>
      </c>
      <c r="B28" s="8">
        <f>B27/2</f>
        <v>162.315708</v>
      </c>
      <c r="C28" s="8">
        <f>C27/2</f>
        <v>438.44140159800008</v>
      </c>
      <c r="D28" s="8"/>
      <c r="E28" s="8">
        <f>E27/2</f>
        <v>2.2732649027188323</v>
      </c>
      <c r="F28" s="8">
        <f>SUM(B28:D28)</f>
        <v>600.75710959800006</v>
      </c>
      <c r="H28" s="48"/>
      <c r="I28" s="34"/>
      <c r="J28" s="34"/>
    </row>
    <row r="29" spans="1:10" x14ac:dyDescent="0.25">
      <c r="A29" s="7"/>
      <c r="B29" s="8"/>
      <c r="C29" s="8"/>
      <c r="D29" s="8"/>
      <c r="E29" s="8"/>
      <c r="F29" s="8"/>
      <c r="H29" s="48"/>
      <c r="I29" s="34"/>
      <c r="J29" s="34"/>
    </row>
    <row r="30" spans="1:10" x14ac:dyDescent="0.25">
      <c r="A30" s="7" t="s">
        <v>13</v>
      </c>
      <c r="B30" s="8">
        <v>749.38</v>
      </c>
      <c r="C30" s="8">
        <f>(10457.16/12)</f>
        <v>871.43</v>
      </c>
      <c r="D30" s="8">
        <f>(496*0.9%)+496</f>
        <v>500.464</v>
      </c>
      <c r="E30" s="8">
        <f>(B30+C30+D30)*0.3784%</f>
        <v>8.0269008159999995</v>
      </c>
      <c r="F30" s="8">
        <f>SUM(B30:D30)</f>
        <v>2121.2739999999999</v>
      </c>
      <c r="H30" s="21"/>
      <c r="I30" s="22"/>
      <c r="J30" s="22"/>
    </row>
    <row r="31" spans="1:10" x14ac:dyDescent="0.25">
      <c r="A31" s="7" t="s">
        <v>16</v>
      </c>
      <c r="B31" s="8">
        <f>B30*43.32%</f>
        <v>324.631416</v>
      </c>
      <c r="C31" s="8">
        <f>F31-B31</f>
        <v>594.30448079999996</v>
      </c>
      <c r="D31" s="8"/>
      <c r="E31" s="8">
        <f>E30*43.32%</f>
        <v>3.4772534334912</v>
      </c>
      <c r="F31" s="8">
        <f>F30*43.32%</f>
        <v>918.93589680000002</v>
      </c>
    </row>
    <row r="32" spans="1:10" x14ac:dyDescent="0.25">
      <c r="A32" s="7" t="s">
        <v>17</v>
      </c>
      <c r="B32" s="8">
        <f>B31/2</f>
        <v>162.315708</v>
      </c>
      <c r="C32" s="8">
        <f>C31/2</f>
        <v>297.15224039999998</v>
      </c>
      <c r="D32" s="8"/>
      <c r="E32" s="8">
        <f>E31/2</f>
        <v>1.7386267167456</v>
      </c>
      <c r="F32" s="8">
        <f>SUM(B32:D32)</f>
        <v>459.46794839999995</v>
      </c>
    </row>
    <row r="33" spans="1:10" x14ac:dyDescent="0.25">
      <c r="A33" s="7"/>
      <c r="B33" s="8"/>
      <c r="C33" s="8"/>
      <c r="D33" s="8"/>
      <c r="E33" s="8"/>
      <c r="F33" s="8"/>
    </row>
    <row r="34" spans="1:10" x14ac:dyDescent="0.25">
      <c r="A34" s="7" t="s">
        <v>18</v>
      </c>
      <c r="B34" s="8">
        <v>749.38</v>
      </c>
      <c r="C34" s="8">
        <f>(9174.48/12)</f>
        <v>764.54</v>
      </c>
      <c r="D34" s="8">
        <f>(306.22*0.9%)+306.22</f>
        <v>308.97598000000005</v>
      </c>
      <c r="E34" s="8">
        <f>(B34+C34+D34)*0.3784%</f>
        <v>6.8978383883200012</v>
      </c>
      <c r="F34" s="8">
        <f>SUM(B34:D34)</f>
        <v>1822.8959800000002</v>
      </c>
    </row>
    <row r="35" spans="1:10" x14ac:dyDescent="0.25">
      <c r="A35" s="7" t="s">
        <v>19</v>
      </c>
      <c r="B35" s="8">
        <f>B34*43.32%</f>
        <v>324.631416</v>
      </c>
      <c r="C35" s="8">
        <f>F35-B35</f>
        <v>465.04712253600013</v>
      </c>
      <c r="D35" s="8"/>
      <c r="E35" s="8">
        <f>E34*43.32%</f>
        <v>2.9881435898202247</v>
      </c>
      <c r="F35" s="8">
        <f>F34*43.32%</f>
        <v>789.67853853600013</v>
      </c>
      <c r="G35" s="11"/>
    </row>
    <row r="36" spans="1:10" x14ac:dyDescent="0.25">
      <c r="A36" s="7" t="s">
        <v>20</v>
      </c>
      <c r="B36" s="8">
        <f>B35/2</f>
        <v>162.315708</v>
      </c>
      <c r="C36" s="8">
        <f>C35/2</f>
        <v>232.52356126800007</v>
      </c>
      <c r="D36" s="8"/>
      <c r="E36" s="8">
        <f>E35/2</f>
        <v>1.4940717949101123</v>
      </c>
      <c r="F36" s="8">
        <f>SUM(B36:D36)</f>
        <v>394.83926926800007</v>
      </c>
    </row>
    <row r="37" spans="1:10" x14ac:dyDescent="0.25">
      <c r="A37" s="12"/>
      <c r="B37" s="11"/>
      <c r="C37" s="11"/>
      <c r="D37" s="11"/>
      <c r="E37" s="11"/>
      <c r="F37" s="11"/>
    </row>
    <row r="38" spans="1:10" ht="15.75" thickBot="1" x14ac:dyDescent="0.3">
      <c r="A38" s="12"/>
      <c r="B38" s="12"/>
      <c r="C38" s="12"/>
      <c r="D38" s="12"/>
      <c r="E38" s="12"/>
      <c r="F38" s="12"/>
      <c r="J38" s="2"/>
    </row>
    <row r="39" spans="1:10" ht="15.75" thickBot="1" x14ac:dyDescent="0.3">
      <c r="A39" s="63" t="s">
        <v>67</v>
      </c>
      <c r="B39" s="64"/>
      <c r="C39" s="64"/>
      <c r="D39" s="64"/>
      <c r="E39" s="64"/>
      <c r="F39" s="65"/>
      <c r="J39" s="2"/>
    </row>
    <row r="40" spans="1:10" x14ac:dyDescent="0.25">
      <c r="A40" s="12"/>
      <c r="B40" s="12"/>
      <c r="C40" s="12"/>
      <c r="D40" s="12"/>
      <c r="E40" s="12"/>
      <c r="F40" s="12"/>
      <c r="J40" s="2"/>
    </row>
    <row r="41" spans="1:10" ht="27" x14ac:dyDescent="0.25">
      <c r="A41" s="31" t="s">
        <v>0</v>
      </c>
      <c r="B41" s="31" t="s">
        <v>1</v>
      </c>
      <c r="C41" s="31" t="s">
        <v>2</v>
      </c>
      <c r="D41" s="32" t="s">
        <v>3</v>
      </c>
      <c r="E41" s="4" t="s">
        <v>4</v>
      </c>
      <c r="F41" s="31" t="s">
        <v>5</v>
      </c>
      <c r="G41" s="2"/>
      <c r="H41" s="33"/>
      <c r="I41" s="33"/>
      <c r="J41"/>
    </row>
    <row r="42" spans="1:10" x14ac:dyDescent="0.25">
      <c r="A42" s="10"/>
      <c r="B42" s="10"/>
      <c r="C42" s="10"/>
      <c r="D42" s="10"/>
      <c r="E42" s="10"/>
      <c r="F42" s="10"/>
      <c r="G42" s="17"/>
      <c r="H42" s="34"/>
      <c r="I42" s="34"/>
      <c r="J42"/>
    </row>
    <row r="43" spans="1:10" x14ac:dyDescent="0.25">
      <c r="A43" s="18"/>
      <c r="B43" s="8">
        <f>(14572.68/12)</f>
        <v>1214.3900000000001</v>
      </c>
      <c r="C43" s="8">
        <f>(9174.48/12)</f>
        <v>764.54</v>
      </c>
      <c r="D43" s="8">
        <f>(306.22*0.9%)+306.22</f>
        <v>308.97598000000005</v>
      </c>
      <c r="E43" s="35">
        <f>(B43+C43+D43)*0.3784%</f>
        <v>8.6574362283199999</v>
      </c>
      <c r="F43" s="8">
        <f>SUM(B43:D43)</f>
        <v>2287.90598</v>
      </c>
      <c r="G43" s="36"/>
      <c r="H43" s="36"/>
      <c r="I43" s="36"/>
      <c r="J43"/>
    </row>
    <row r="44" spans="1:10" x14ac:dyDescent="0.25">
      <c r="A44" s="18" t="s">
        <v>34</v>
      </c>
      <c r="B44" s="8">
        <f>B43*43.32%</f>
        <v>526.07374800000002</v>
      </c>
      <c r="C44" s="8">
        <f>F44-B44</f>
        <v>465.04712253600007</v>
      </c>
      <c r="D44" s="8"/>
      <c r="E44" s="35">
        <f>E43*43.32%</f>
        <v>3.7504013741082241</v>
      </c>
      <c r="F44" s="8">
        <f>F43*43.32%</f>
        <v>991.1208705360001</v>
      </c>
      <c r="G44" s="36"/>
      <c r="H44" s="36"/>
      <c r="I44" s="36"/>
      <c r="J44"/>
    </row>
    <row r="45" spans="1:10" x14ac:dyDescent="0.25">
      <c r="A45" s="18" t="s">
        <v>35</v>
      </c>
      <c r="B45" s="8">
        <f>(14572.68/12)</f>
        <v>1214.3900000000001</v>
      </c>
      <c r="C45" s="8">
        <f>(9174.48/12)</f>
        <v>764.54</v>
      </c>
      <c r="D45" s="8">
        <f t="shared" ref="D45:D46" si="0">(306.22*0.9%)+306.22</f>
        <v>308.97598000000005</v>
      </c>
      <c r="E45" s="35">
        <f t="shared" ref="E45:E58" si="1">(B45+C45+D45)*0.3784%</f>
        <v>8.6574362283199999</v>
      </c>
      <c r="F45" s="8">
        <f>SUM(B45:D45)</f>
        <v>2287.90598</v>
      </c>
      <c r="G45" s="36"/>
      <c r="H45" s="36"/>
      <c r="I45" s="36"/>
      <c r="J45"/>
    </row>
    <row r="46" spans="1:10" x14ac:dyDescent="0.25">
      <c r="A46" s="18" t="s">
        <v>36</v>
      </c>
      <c r="B46" s="8">
        <f>(14572.68/12)</f>
        <v>1214.3900000000001</v>
      </c>
      <c r="C46" s="8">
        <f>(9174.48/12)</f>
        <v>764.54</v>
      </c>
      <c r="D46" s="8">
        <f t="shared" si="0"/>
        <v>308.97598000000005</v>
      </c>
      <c r="E46" s="35">
        <f t="shared" si="1"/>
        <v>8.6574362283199999</v>
      </c>
      <c r="F46" s="8">
        <f>SUM(B46:D46)</f>
        <v>2287.90598</v>
      </c>
      <c r="G46" s="36"/>
      <c r="H46" s="36"/>
      <c r="I46" s="36"/>
      <c r="J46"/>
    </row>
    <row r="47" spans="1:10" x14ac:dyDescent="0.25">
      <c r="A47" s="18" t="s">
        <v>37</v>
      </c>
      <c r="B47" s="8">
        <f>(14572.68/12)</f>
        <v>1214.3900000000001</v>
      </c>
      <c r="C47" s="8">
        <f>(10457.16/12)</f>
        <v>871.43</v>
      </c>
      <c r="D47" s="8">
        <f>(496*0.9%)+496</f>
        <v>500.464</v>
      </c>
      <c r="E47" s="35">
        <f t="shared" si="1"/>
        <v>9.7864986560000009</v>
      </c>
      <c r="F47" s="8">
        <f>SUM(B47:D47)</f>
        <v>2586.2840000000001</v>
      </c>
      <c r="G47"/>
      <c r="H47"/>
      <c r="I47"/>
      <c r="J47"/>
    </row>
    <row r="48" spans="1:10" x14ac:dyDescent="0.25">
      <c r="A48" s="37" t="s">
        <v>38</v>
      </c>
      <c r="B48" s="28">
        <f>(962.79*0.9%)+962.79</f>
        <v>971.45510999999999</v>
      </c>
      <c r="C48" s="28">
        <f>(690.93*0.9%)+690.93</f>
        <v>697.14837</v>
      </c>
      <c r="D48" s="28">
        <f>(308.65*0.9%)+308.65</f>
        <v>311.42784999999998</v>
      </c>
      <c r="E48" s="35">
        <f>(B48+C48+D48)*0.3784%</f>
        <v>7.4924385527200004</v>
      </c>
      <c r="F48" s="8">
        <v>1980.04</v>
      </c>
      <c r="G48" s="17"/>
      <c r="H48" s="17"/>
      <c r="I48" s="17"/>
      <c r="J48"/>
    </row>
    <row r="49" spans="1:10" x14ac:dyDescent="0.25">
      <c r="A49" s="37" t="s">
        <v>39</v>
      </c>
      <c r="B49" s="28">
        <f>(439.11*0.9%)+439.11</f>
        <v>443.06199000000004</v>
      </c>
      <c r="C49" s="28">
        <f>(415.94*0.9%)+415.94</f>
        <v>419.68346000000003</v>
      </c>
      <c r="D49" s="28"/>
      <c r="E49" s="35">
        <f>(B49+C49+D49)*0.3784%</f>
        <v>3.2646287828000005</v>
      </c>
      <c r="F49" s="28">
        <v>862.74</v>
      </c>
      <c r="G49" s="17"/>
      <c r="H49" s="17"/>
      <c r="I49" s="17"/>
      <c r="J49"/>
    </row>
    <row r="50" spans="1:10" x14ac:dyDescent="0.25">
      <c r="A50" s="37" t="s">
        <v>40</v>
      </c>
      <c r="B50" s="28">
        <f>(219.57*0.9%)+219.57</f>
        <v>221.54613000000001</v>
      </c>
      <c r="C50" s="28">
        <f>(207.99*0.9%)+207.99</f>
        <v>209.86191000000002</v>
      </c>
      <c r="D50" s="28"/>
      <c r="E50" s="35">
        <f t="shared" si="1"/>
        <v>1.6324480233600001</v>
      </c>
      <c r="F50" s="28">
        <f t="shared" ref="F50:F58" si="2">SUM(B50:D50)</f>
        <v>431.40804000000003</v>
      </c>
      <c r="G50" s="17"/>
      <c r="H50" s="16"/>
      <c r="I50" s="38"/>
      <c r="J50"/>
    </row>
    <row r="51" spans="1:10" x14ac:dyDescent="0.25">
      <c r="A51" s="37" t="s">
        <v>41</v>
      </c>
      <c r="B51" s="28">
        <f>(439.11*0.9%)+439.11</f>
        <v>443.06199000000004</v>
      </c>
      <c r="C51" s="28">
        <f>(415.94*0.9%)+415.94</f>
        <v>419.68346000000003</v>
      </c>
      <c r="D51" s="28"/>
      <c r="E51" s="35">
        <f t="shared" si="1"/>
        <v>3.2646287828000005</v>
      </c>
      <c r="F51" s="28">
        <v>862.74</v>
      </c>
      <c r="G51" s="17"/>
      <c r="H51" s="16"/>
      <c r="I51" s="17"/>
      <c r="J51"/>
    </row>
    <row r="52" spans="1:10" x14ac:dyDescent="0.25">
      <c r="A52" s="37" t="s">
        <v>42</v>
      </c>
      <c r="B52" s="28">
        <f>(219.57*0.9%)+219.57</f>
        <v>221.54613000000001</v>
      </c>
      <c r="C52" s="28">
        <f>(207.99*0.9%)+207.99</f>
        <v>209.86191000000002</v>
      </c>
      <c r="D52" s="28"/>
      <c r="E52" s="35">
        <f t="shared" si="1"/>
        <v>1.6324480233600001</v>
      </c>
      <c r="F52" s="28">
        <f t="shared" si="2"/>
        <v>431.40804000000003</v>
      </c>
      <c r="G52" s="17"/>
      <c r="H52" s="16"/>
      <c r="I52" s="17"/>
      <c r="J52"/>
    </row>
    <row r="53" spans="1:10" x14ac:dyDescent="0.25">
      <c r="A53" s="37" t="s">
        <v>43</v>
      </c>
      <c r="B53" s="28">
        <f>(296.61*0.9%)+296.61</f>
        <v>299.27949000000001</v>
      </c>
      <c r="C53" s="28"/>
      <c r="D53" s="28"/>
      <c r="E53" s="35">
        <f t="shared" si="1"/>
        <v>1.13247359016</v>
      </c>
      <c r="F53" s="28">
        <f t="shared" si="2"/>
        <v>299.27949000000001</v>
      </c>
      <c r="G53" s="17"/>
      <c r="H53" s="17"/>
      <c r="I53" s="17"/>
      <c r="J53"/>
    </row>
    <row r="54" spans="1:10" x14ac:dyDescent="0.25">
      <c r="A54" s="37" t="s">
        <v>44</v>
      </c>
      <c r="B54" s="28">
        <f t="shared" ref="B54:B55" si="3">(296.61*0.9%)+296.61</f>
        <v>299.27949000000001</v>
      </c>
      <c r="C54" s="28"/>
      <c r="D54" s="28"/>
      <c r="E54" s="35">
        <f t="shared" si="1"/>
        <v>1.13247359016</v>
      </c>
      <c r="F54" s="28">
        <f t="shared" si="2"/>
        <v>299.27949000000001</v>
      </c>
      <c r="G54" s="17"/>
      <c r="H54" s="17"/>
      <c r="I54" s="17"/>
      <c r="J54"/>
    </row>
    <row r="55" spans="1:10" ht="27" x14ac:dyDescent="0.25">
      <c r="A55" s="39" t="s">
        <v>45</v>
      </c>
      <c r="B55" s="28">
        <f t="shared" si="3"/>
        <v>299.27949000000001</v>
      </c>
      <c r="C55" s="28"/>
      <c r="D55" s="28"/>
      <c r="E55" s="35">
        <f t="shared" si="1"/>
        <v>1.13247359016</v>
      </c>
      <c r="F55" s="28">
        <f t="shared" si="2"/>
        <v>299.27949000000001</v>
      </c>
      <c r="G55" s="17"/>
      <c r="H55" s="16"/>
      <c r="I55" s="38"/>
      <c r="J55"/>
    </row>
    <row r="56" spans="1:10" x14ac:dyDescent="0.25">
      <c r="A56" s="37" t="s">
        <v>46</v>
      </c>
      <c r="B56" s="8">
        <f>(1044.33*0.9%)+1044.33</f>
        <v>1053.7289699999999</v>
      </c>
      <c r="C56" s="8">
        <f>(533.15*0.9%)+533.15</f>
        <v>537.94835</v>
      </c>
      <c r="D56" s="28"/>
      <c r="E56" s="35">
        <f t="shared" si="1"/>
        <v>6.0229069788799992</v>
      </c>
      <c r="F56" s="28">
        <f t="shared" si="2"/>
        <v>1591.6773199999998</v>
      </c>
      <c r="G56" s="17"/>
      <c r="H56" s="17"/>
      <c r="I56" s="38"/>
      <c r="J56"/>
    </row>
    <row r="57" spans="1:10" x14ac:dyDescent="0.25">
      <c r="A57" s="40" t="s">
        <v>47</v>
      </c>
      <c r="B57" s="41">
        <f>(1132.37*0.9%)+1132.37</f>
        <v>1142.56133</v>
      </c>
      <c r="C57" s="41">
        <f>(869.22*0.9%)+869.22</f>
        <v>877.04298000000006</v>
      </c>
      <c r="D57" s="42"/>
      <c r="E57" s="43">
        <f t="shared" si="1"/>
        <v>7.642182709040001</v>
      </c>
      <c r="F57" s="42">
        <f t="shared" si="2"/>
        <v>2019.6043100000002</v>
      </c>
      <c r="G57" s="17"/>
      <c r="H57" s="17"/>
      <c r="I57" s="38"/>
      <c r="J57"/>
    </row>
    <row r="58" spans="1:10" x14ac:dyDescent="0.25">
      <c r="A58" s="37" t="s">
        <v>48</v>
      </c>
      <c r="B58" s="8">
        <f>(98.78*0.9%)+98.78</f>
        <v>99.669020000000003</v>
      </c>
      <c r="C58" s="8"/>
      <c r="D58" s="28"/>
      <c r="E58" s="8">
        <f t="shared" si="1"/>
        <v>0.37714757168000002</v>
      </c>
      <c r="F58" s="50">
        <f t="shared" si="2"/>
        <v>99.669020000000003</v>
      </c>
      <c r="G58" s="51"/>
      <c r="H58" s="17"/>
      <c r="I58" s="17"/>
      <c r="J58" s="38"/>
    </row>
    <row r="59" spans="1:10" ht="15.75" thickBot="1" x14ac:dyDescent="0.3">
      <c r="A59" s="10"/>
      <c r="B59" s="13"/>
      <c r="C59" s="13"/>
      <c r="D59" s="13"/>
      <c r="E59" s="13"/>
      <c r="F59" s="13"/>
      <c r="H59" s="17"/>
      <c r="I59" s="17"/>
      <c r="J59" s="17"/>
    </row>
    <row r="60" spans="1:10" ht="15.75" thickBot="1" x14ac:dyDescent="0.3">
      <c r="A60" s="66" t="s">
        <v>66</v>
      </c>
      <c r="B60" s="67"/>
      <c r="C60" s="67"/>
      <c r="D60" s="67"/>
      <c r="E60" s="67"/>
      <c r="F60" s="68"/>
      <c r="H60" s="2"/>
      <c r="I60" s="2"/>
      <c r="J60" s="2"/>
    </row>
    <row r="61" spans="1:10" x14ac:dyDescent="0.25">
      <c r="A61" s="44"/>
      <c r="B61" s="44"/>
      <c r="C61" s="44"/>
      <c r="D61" s="44"/>
      <c r="E61" s="44"/>
      <c r="F61" s="44"/>
    </row>
    <row r="62" spans="1:10" ht="40.5" x14ac:dyDescent="0.25">
      <c r="A62" s="31" t="s">
        <v>0</v>
      </c>
      <c r="B62" s="32" t="s">
        <v>21</v>
      </c>
      <c r="C62" s="31" t="s">
        <v>2</v>
      </c>
      <c r="D62" s="32" t="s">
        <v>49</v>
      </c>
      <c r="E62" s="4" t="s">
        <v>4</v>
      </c>
      <c r="F62" s="32" t="s">
        <v>50</v>
      </c>
    </row>
    <row r="63" spans="1:10" x14ac:dyDescent="0.25">
      <c r="A63" s="45" t="s">
        <v>51</v>
      </c>
      <c r="B63" s="8">
        <v>749.38</v>
      </c>
      <c r="C63" s="8">
        <f>(9174.48/12)</f>
        <v>764.54</v>
      </c>
      <c r="D63" s="8">
        <f>(306.22*0.9%)+306.22</f>
        <v>308.97598000000005</v>
      </c>
      <c r="E63" s="8">
        <f>(B63+C63+D63)*0.3784%</f>
        <v>6.8978383883200012</v>
      </c>
      <c r="F63" s="8">
        <f>SUM(B63:D63)</f>
        <v>1822.8959800000002</v>
      </c>
    </row>
    <row r="64" spans="1:10" x14ac:dyDescent="0.25">
      <c r="A64" s="45" t="s">
        <v>34</v>
      </c>
      <c r="B64" s="8">
        <f>B63*43.32%</f>
        <v>324.631416</v>
      </c>
      <c r="C64" s="8">
        <f>C44</f>
        <v>465.04712253600007</v>
      </c>
      <c r="D64" s="8"/>
      <c r="E64" s="8">
        <f t="shared" ref="E64:E74" si="4">(B64+C64+D64)*0.3784%</f>
        <v>2.9881435898202247</v>
      </c>
      <c r="F64" s="8">
        <f t="shared" ref="F64:F74" si="5">SUM(B64:D64)</f>
        <v>789.67853853600013</v>
      </c>
    </row>
    <row r="65" spans="1:9" x14ac:dyDescent="0.25">
      <c r="A65" s="18" t="s">
        <v>35</v>
      </c>
      <c r="B65" s="8">
        <v>749.38</v>
      </c>
      <c r="C65" s="8">
        <f t="shared" ref="C65:C66" si="6">(9174.48/12)</f>
        <v>764.54</v>
      </c>
      <c r="D65" s="8">
        <f t="shared" ref="D65:D66" si="7">(306.22*0.9%)+306.22</f>
        <v>308.97598000000005</v>
      </c>
      <c r="E65" s="8">
        <f t="shared" si="4"/>
        <v>6.8978383883200012</v>
      </c>
      <c r="F65" s="8">
        <f t="shared" si="5"/>
        <v>1822.8959800000002</v>
      </c>
    </row>
    <row r="66" spans="1:9" x14ac:dyDescent="0.25">
      <c r="A66" s="18" t="s">
        <v>36</v>
      </c>
      <c r="B66" s="8">
        <v>749.38</v>
      </c>
      <c r="C66" s="8">
        <f t="shared" si="6"/>
        <v>764.54</v>
      </c>
      <c r="D66" s="8">
        <f t="shared" si="7"/>
        <v>308.97598000000005</v>
      </c>
      <c r="E66" s="8">
        <f t="shared" si="4"/>
        <v>6.8978383883200012</v>
      </c>
      <c r="F66" s="8">
        <f t="shared" si="5"/>
        <v>1822.8959800000002</v>
      </c>
      <c r="H66" s="11"/>
    </row>
    <row r="67" spans="1:9" x14ac:dyDescent="0.25">
      <c r="A67" s="18" t="s">
        <v>37</v>
      </c>
      <c r="B67" s="8">
        <v>749.38</v>
      </c>
      <c r="C67" s="8">
        <f>(10457.16/12)</f>
        <v>871.43</v>
      </c>
      <c r="D67" s="8">
        <f>(496*0.9%)+496</f>
        <v>500.464</v>
      </c>
      <c r="E67" s="8">
        <f t="shared" si="4"/>
        <v>8.0269008159999995</v>
      </c>
      <c r="F67" s="8">
        <f t="shared" si="5"/>
        <v>2121.2739999999999</v>
      </c>
      <c r="G67" s="11"/>
      <c r="H67" s="11"/>
    </row>
    <row r="68" spans="1:9" x14ac:dyDescent="0.25">
      <c r="A68" s="18" t="s">
        <v>52</v>
      </c>
      <c r="B68" s="28">
        <f>(962.79*0.9%)+962.79</f>
        <v>971.45510999999999</v>
      </c>
      <c r="C68" s="28">
        <f>(690.93*0.9%)+690.93</f>
        <v>697.14837</v>
      </c>
      <c r="D68" s="28">
        <f>(308.65*0.9%)+308.65</f>
        <v>311.42784999999998</v>
      </c>
      <c r="E68" s="8">
        <f t="shared" si="4"/>
        <v>7.4924385527200004</v>
      </c>
      <c r="F68" s="8">
        <v>1980.04</v>
      </c>
    </row>
    <row r="69" spans="1:9" x14ac:dyDescent="0.25">
      <c r="A69" s="18" t="s">
        <v>53</v>
      </c>
      <c r="B69" s="28">
        <f>(439.11*0.9%)+439.11</f>
        <v>443.06199000000004</v>
      </c>
      <c r="C69" s="28">
        <f>(415.94*0.9%)+415.94</f>
        <v>419.68346000000003</v>
      </c>
      <c r="D69" s="8"/>
      <c r="E69" s="8">
        <f t="shared" si="4"/>
        <v>3.2646287828000005</v>
      </c>
      <c r="F69" s="28">
        <v>862.74</v>
      </c>
      <c r="G69" s="11"/>
    </row>
    <row r="70" spans="1:9" x14ac:dyDescent="0.25">
      <c r="A70" s="18" t="s">
        <v>54</v>
      </c>
      <c r="B70" s="28">
        <f>(219.57*0.9%)+219.57</f>
        <v>221.54613000000001</v>
      </c>
      <c r="C70" s="28">
        <f>(207.99*0.9%)+207.99</f>
        <v>209.86191000000002</v>
      </c>
      <c r="D70" s="8"/>
      <c r="E70" s="8">
        <f t="shared" si="4"/>
        <v>1.6324480233600001</v>
      </c>
      <c r="F70" s="8">
        <f t="shared" si="5"/>
        <v>431.40804000000003</v>
      </c>
    </row>
    <row r="71" spans="1:9" x14ac:dyDescent="0.25">
      <c r="A71" s="18" t="s">
        <v>55</v>
      </c>
      <c r="B71" s="28">
        <f>(439.11*0.9%)+439.11</f>
        <v>443.06199000000004</v>
      </c>
      <c r="C71" s="28">
        <f>(415.94*0.9%)+415.94</f>
        <v>419.68346000000003</v>
      </c>
      <c r="D71" s="8"/>
      <c r="E71" s="8">
        <f t="shared" si="4"/>
        <v>3.2646287828000005</v>
      </c>
      <c r="F71" s="28">
        <v>862.74</v>
      </c>
      <c r="I71" s="11"/>
    </row>
    <row r="72" spans="1:9" x14ac:dyDescent="0.25">
      <c r="A72" s="18" t="s">
        <v>56</v>
      </c>
      <c r="B72" s="28">
        <f>(219.57*0.9%)+219.57</f>
        <v>221.54613000000001</v>
      </c>
      <c r="C72" s="28">
        <f>(207.99*0.9%)+207.99</f>
        <v>209.86191000000002</v>
      </c>
      <c r="D72" s="8"/>
      <c r="E72" s="8">
        <f t="shared" si="4"/>
        <v>1.6324480233600001</v>
      </c>
      <c r="F72" s="8">
        <f t="shared" si="5"/>
        <v>431.40804000000003</v>
      </c>
    </row>
    <row r="73" spans="1:9" x14ac:dyDescent="0.25">
      <c r="A73" s="18" t="s">
        <v>46</v>
      </c>
      <c r="B73" s="8">
        <f>(1044.33*0.9%)+1044.33</f>
        <v>1053.7289699999999</v>
      </c>
      <c r="C73" s="8">
        <f>(522.7*2%)+522.7</f>
        <v>533.154</v>
      </c>
      <c r="D73" s="8"/>
      <c r="E73" s="8">
        <f t="shared" si="4"/>
        <v>6.0047651584799997</v>
      </c>
      <c r="F73" s="8">
        <f t="shared" si="5"/>
        <v>1586.8829699999999</v>
      </c>
    </row>
    <row r="74" spans="1:9" x14ac:dyDescent="0.25">
      <c r="A74" s="18" t="s">
        <v>47</v>
      </c>
      <c r="B74" s="8">
        <f>(1132.37*0.9%)+1132.37</f>
        <v>1142.56133</v>
      </c>
      <c r="C74" s="8">
        <f>(869.22*0.9%)+869.22</f>
        <v>877.04298000000006</v>
      </c>
      <c r="D74" s="8"/>
      <c r="E74" s="8">
        <f t="shared" si="4"/>
        <v>7.642182709040001</v>
      </c>
      <c r="F74" s="8">
        <f t="shared" si="5"/>
        <v>2019.6043100000002</v>
      </c>
    </row>
    <row r="75" spans="1:9" x14ac:dyDescent="0.25">
      <c r="A75" s="46"/>
      <c r="B75" s="38"/>
      <c r="C75" s="38"/>
      <c r="D75" s="38"/>
      <c r="E75" s="38"/>
      <c r="F75" s="38"/>
    </row>
    <row r="76" spans="1:9" x14ac:dyDescent="0.25">
      <c r="A76" s="54" t="s">
        <v>24</v>
      </c>
      <c r="B76" s="54"/>
    </row>
    <row r="77" spans="1:9" x14ac:dyDescent="0.25">
      <c r="A77" s="7" t="s">
        <v>25</v>
      </c>
      <c r="B77" s="7" t="s">
        <v>65</v>
      </c>
    </row>
    <row r="78" spans="1:9" x14ac:dyDescent="0.25">
      <c r="A78" s="23">
        <v>29</v>
      </c>
      <c r="B78" s="24">
        <f>(161.24*0.9%)+161.24</f>
        <v>162.69116</v>
      </c>
    </row>
    <row r="79" spans="1:9" x14ac:dyDescent="0.25">
      <c r="A79" s="23">
        <v>27</v>
      </c>
      <c r="B79" s="24">
        <f>(130.59*0.9%)+130.59</f>
        <v>131.76531</v>
      </c>
    </row>
    <row r="80" spans="1:9" x14ac:dyDescent="0.25">
      <c r="A80" s="23">
        <v>26</v>
      </c>
      <c r="B80" s="24">
        <f>(110.52*0.9%)+110.52</f>
        <v>111.51468</v>
      </c>
    </row>
    <row r="83" spans="1:2" x14ac:dyDescent="0.25">
      <c r="A83" s="55" t="s">
        <v>57</v>
      </c>
      <c r="B83" s="56"/>
    </row>
    <row r="84" spans="1:2" x14ac:dyDescent="0.25">
      <c r="A84" s="47" t="s">
        <v>58</v>
      </c>
      <c r="B84" s="26">
        <f>+(64.26*0.9%)+64.26</f>
        <v>64.838340000000002</v>
      </c>
    </row>
    <row r="85" spans="1:2" x14ac:dyDescent="0.25">
      <c r="A85" s="47" t="s">
        <v>59</v>
      </c>
      <c r="B85" s="28">
        <f>+(82.62*0.9%)+82.62</f>
        <v>83.363579999999999</v>
      </c>
    </row>
    <row r="86" spans="1:2" x14ac:dyDescent="0.25">
      <c r="A86" s="47" t="s">
        <v>60</v>
      </c>
      <c r="B86" s="8">
        <f>+(110.18*0.9%)+110.18</f>
        <v>111.17162</v>
      </c>
    </row>
    <row r="87" spans="1:2" x14ac:dyDescent="0.25">
      <c r="A87" s="47" t="s">
        <v>61</v>
      </c>
      <c r="B87" s="8">
        <f>+(156.06*0.9%)+156.06</f>
        <v>157.46454</v>
      </c>
    </row>
    <row r="88" spans="1:2" x14ac:dyDescent="0.25">
      <c r="A88" s="47" t="s">
        <v>62</v>
      </c>
      <c r="B88" s="8">
        <f>+(45.89*0.9%)+45.89</f>
        <v>46.30301</v>
      </c>
    </row>
    <row r="91" spans="1:2" x14ac:dyDescent="0.25">
      <c r="A91" s="59" t="s">
        <v>8</v>
      </c>
      <c r="B91" s="59"/>
    </row>
    <row r="92" spans="1:2" x14ac:dyDescent="0.25">
      <c r="A92" s="49" t="s">
        <v>9</v>
      </c>
      <c r="B92" s="49" t="s">
        <v>10</v>
      </c>
    </row>
    <row r="93" spans="1:2" x14ac:dyDescent="0.25">
      <c r="A93" s="15" t="s">
        <v>14</v>
      </c>
      <c r="B93" s="15" t="s">
        <v>15</v>
      </c>
    </row>
    <row r="95" spans="1:2" x14ac:dyDescent="0.25">
      <c r="A95" s="54" t="s">
        <v>26</v>
      </c>
      <c r="B95" s="54"/>
    </row>
    <row r="96" spans="1:2" x14ac:dyDescent="0.25">
      <c r="A96" s="52" t="s">
        <v>29</v>
      </c>
      <c r="B96" s="53">
        <f>(85.91*0.9%)+85.91</f>
        <v>86.683189999999996</v>
      </c>
    </row>
    <row r="97" spans="1:6" x14ac:dyDescent="0.25">
      <c r="A97" s="27" t="s">
        <v>31</v>
      </c>
      <c r="B97" s="28">
        <f>(77.31*0.9%)+77.31</f>
        <v>78.005790000000005</v>
      </c>
    </row>
    <row r="98" spans="1:6" x14ac:dyDescent="0.25">
      <c r="A98" s="29" t="s">
        <v>32</v>
      </c>
      <c r="B98" s="8">
        <f>(34.36*0.9%)+34.36</f>
        <v>34.669240000000002</v>
      </c>
      <c r="D98" s="30"/>
      <c r="E98" s="30"/>
      <c r="F98" s="30"/>
    </row>
    <row r="99" spans="1:6" x14ac:dyDescent="0.25">
      <c r="A99" s="15" t="s">
        <v>33</v>
      </c>
      <c r="B99" s="8">
        <f>(20.61*0.9%)+20.61</f>
        <v>20.795490000000001</v>
      </c>
      <c r="D99" s="12"/>
      <c r="E99" s="12"/>
      <c r="F99" s="12"/>
    </row>
    <row r="101" spans="1:6" x14ac:dyDescent="0.25">
      <c r="A101" s="25" t="s">
        <v>27</v>
      </c>
      <c r="B101" s="18" t="s">
        <v>28</v>
      </c>
      <c r="C101" s="11"/>
    </row>
    <row r="102" spans="1:6" x14ac:dyDescent="0.25">
      <c r="A102" s="20" t="s">
        <v>30</v>
      </c>
      <c r="B102" s="19">
        <f>560.88/12</f>
        <v>46.74</v>
      </c>
      <c r="C102" s="11"/>
    </row>
  </sheetData>
  <mergeCells count="9">
    <mergeCell ref="A95:B95"/>
    <mergeCell ref="A83:B83"/>
    <mergeCell ref="A1:G1"/>
    <mergeCell ref="A4:G4"/>
    <mergeCell ref="A91:B91"/>
    <mergeCell ref="A22:F22"/>
    <mergeCell ref="A39:F39"/>
    <mergeCell ref="A60:F60"/>
    <mergeCell ref="A76:B76"/>
  </mergeCells>
  <pageMargins left="0.70866141732283472" right="0.70866141732283472" top="0.55118110236220474" bottom="0.55118110236220474" header="0.31496062992125984" footer="0.31496062992125984"/>
  <pageSetup paperSize="9" scale="9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MOREIRA FIGUEIRAS SILVIA MARIA</dc:creator>
  <cp:lastModifiedBy>sausmanager</cp:lastModifiedBy>
  <cp:lastPrinted>2021-02-15T12:24:00Z</cp:lastPrinted>
  <dcterms:created xsi:type="dcterms:W3CDTF">2021-02-15T11:42:51Z</dcterms:created>
  <dcterms:modified xsi:type="dcterms:W3CDTF">2021-02-15T12:25:06Z</dcterms:modified>
</cp:coreProperties>
</file>